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8195" windowHeight="11385" firstSheet="2" activeTab="2"/>
  </bookViews>
  <sheets>
    <sheet name="выборка 15" sheetId="3" r:id="rId1"/>
    <sheet name="общий отчет по дому за 15 г" sheetId="1" state="hidden" r:id="rId2"/>
    <sheet name="отчет тек. ремонт" sheetId="4" r:id="rId3"/>
    <sheet name="расход по дому ТР 15" sheetId="2" r:id="rId4"/>
    <sheet name="отчет тек. ремонт (2)" sheetId="14" r:id="rId5"/>
    <sheet name="отчет тек. ремонт (3)" sheetId="15" r:id="rId6"/>
    <sheet name="отчет тек. ремонт 2 кв" sheetId="9" state="hidden" r:id="rId7"/>
    <sheet name="расход по дому ТР 2 кв" sheetId="10" state="hidden" r:id="rId8"/>
    <sheet name="отчет тек. ремонт 3 кв" sheetId="7" state="hidden" r:id="rId9"/>
    <sheet name="расход по дому ТР 3 кв" sheetId="8" state="hidden" r:id="rId10"/>
    <sheet name="выборка 15 (2)" sheetId="11" state="hidden" r:id="rId11"/>
    <sheet name="выборка 15 (3)" sheetId="12" state="hidden" r:id="rId12"/>
    <sheet name="отчет сод. жилья" sheetId="5" state="hidden" r:id="rId13"/>
    <sheet name="расход по дому ТО" sheetId="6" state="hidden" r:id="rId14"/>
  </sheets>
  <externalReferences>
    <externalReference r:id="rId15"/>
  </externalReferences>
  <calcPr calcId="144525"/>
</workbook>
</file>

<file path=xl/calcChain.xml><?xml version="1.0" encoding="utf-8"?>
<calcChain xmlns="http://schemas.openxmlformats.org/spreadsheetml/2006/main">
  <c r="C16" i="15" l="1"/>
  <c r="D18" i="15" s="1"/>
  <c r="B16" i="15"/>
  <c r="D9" i="15"/>
  <c r="D8" i="15"/>
  <c r="C7" i="15"/>
  <c r="C10" i="15" s="1"/>
  <c r="B7" i="15"/>
  <c r="B10" i="15" s="1"/>
  <c r="D18" i="14"/>
  <c r="C16" i="14"/>
  <c r="B16" i="14" l="1"/>
  <c r="C7" i="14"/>
  <c r="C10" i="14" s="1"/>
  <c r="G39" i="2"/>
  <c r="G6" i="2"/>
  <c r="G5" i="2"/>
  <c r="D9" i="14"/>
  <c r="D8" i="14"/>
  <c r="B7" i="14"/>
  <c r="B10" i="14" s="1"/>
  <c r="D18" i="4" l="1"/>
  <c r="C16" i="4"/>
  <c r="B16" i="4"/>
  <c r="D9" i="4"/>
  <c r="D8" i="4"/>
  <c r="C7" i="4"/>
  <c r="B7" i="4"/>
  <c r="C7" i="7" l="1"/>
  <c r="I25" i="8" l="1"/>
  <c r="AJ11" i="12"/>
  <c r="AJ15" i="12" s="1"/>
  <c r="E14" i="7"/>
  <c r="C16" i="9"/>
  <c r="E16" i="9" s="1"/>
  <c r="B16" i="9"/>
  <c r="C16" i="7"/>
  <c r="B16" i="7"/>
  <c r="B7" i="7"/>
  <c r="AF15" i="12"/>
  <c r="AD15" i="12"/>
  <c r="AB15" i="12"/>
  <c r="Z15" i="12"/>
  <c r="X15" i="12"/>
  <c r="V15" i="12"/>
  <c r="U15" i="12"/>
  <c r="T15" i="12"/>
  <c r="S15" i="12"/>
  <c r="R15" i="12"/>
  <c r="N15" i="12"/>
  <c r="L15" i="12"/>
  <c r="K15" i="12"/>
  <c r="J15" i="12"/>
  <c r="I15" i="12"/>
  <c r="G15" i="12"/>
  <c r="D15" i="12"/>
  <c r="C15" i="12"/>
  <c r="AN14" i="12"/>
  <c r="AM14" i="12"/>
  <c r="AL14" i="12"/>
  <c r="AI14" i="12"/>
  <c r="O14" i="12"/>
  <c r="H14" i="12"/>
  <c r="P14" i="12" s="1"/>
  <c r="E14" i="12"/>
  <c r="AM13" i="12"/>
  <c r="AL13" i="12"/>
  <c r="AN13" i="12" s="1"/>
  <c r="AI13" i="12"/>
  <c r="P13" i="12"/>
  <c r="O13" i="12"/>
  <c r="H13" i="12"/>
  <c r="E13" i="12"/>
  <c r="AM12" i="12"/>
  <c r="AL12" i="12"/>
  <c r="AN12" i="12" s="1"/>
  <c r="AI12" i="12"/>
  <c r="O12" i="12"/>
  <c r="H12" i="12"/>
  <c r="P12" i="12" s="1"/>
  <c r="E12" i="12"/>
  <c r="AN11" i="12"/>
  <c r="AM11" i="12"/>
  <c r="AL11" i="12"/>
  <c r="AI11" i="12"/>
  <c r="AG11" i="12"/>
  <c r="O11" i="12"/>
  <c r="H11" i="12"/>
  <c r="P11" i="12" s="1"/>
  <c r="E11" i="12"/>
  <c r="AN10" i="12"/>
  <c r="AM10" i="12"/>
  <c r="AL10" i="12"/>
  <c r="AI10" i="12"/>
  <c r="AG10" i="12"/>
  <c r="O10" i="12"/>
  <c r="H10" i="12"/>
  <c r="P10" i="12" s="1"/>
  <c r="E10" i="12"/>
  <c r="AN9" i="12"/>
  <c r="AM9" i="12"/>
  <c r="AL9" i="12"/>
  <c r="AI9" i="12"/>
  <c r="AG9" i="12"/>
  <c r="AG15" i="12" s="1"/>
  <c r="AE9" i="12"/>
  <c r="AE15" i="12" s="1"/>
  <c r="AC9" i="12"/>
  <c r="AC15" i="12" s="1"/>
  <c r="AA9" i="12"/>
  <c r="AA15" i="12" s="1"/>
  <c r="Y9" i="12"/>
  <c r="Y15" i="12" s="1"/>
  <c r="W9" i="12"/>
  <c r="W15" i="12" s="1"/>
  <c r="Q9" i="12"/>
  <c r="Q15" i="12" s="1"/>
  <c r="O9" i="12"/>
  <c r="M9" i="12"/>
  <c r="M15" i="12" s="1"/>
  <c r="F9" i="12"/>
  <c r="F15" i="12" s="1"/>
  <c r="E9" i="12"/>
  <c r="AM7" i="12"/>
  <c r="AL7" i="12"/>
  <c r="AN7" i="12" s="1"/>
  <c r="AI7" i="12"/>
  <c r="P7" i="12"/>
  <c r="O7" i="12"/>
  <c r="H7" i="12"/>
  <c r="E7" i="12"/>
  <c r="AM6" i="12"/>
  <c r="AL6" i="12"/>
  <c r="AN6" i="12" s="1"/>
  <c r="AI6" i="12"/>
  <c r="O6" i="12"/>
  <c r="H6" i="12"/>
  <c r="P6" i="12" s="1"/>
  <c r="E6" i="12"/>
  <c r="AN5" i="12"/>
  <c r="AM5" i="12"/>
  <c r="AL5" i="12"/>
  <c r="AI5" i="12"/>
  <c r="O5" i="12"/>
  <c r="H5" i="12"/>
  <c r="P5" i="12" s="1"/>
  <c r="E5" i="12"/>
  <c r="AM4" i="12"/>
  <c r="AL4" i="12"/>
  <c r="AN4" i="12" s="1"/>
  <c r="AI4" i="12"/>
  <c r="P4" i="12"/>
  <c r="O4" i="12"/>
  <c r="H4" i="12"/>
  <c r="E4" i="12"/>
  <c r="AM3" i="12"/>
  <c r="AM15" i="12" s="1"/>
  <c r="AL3" i="12"/>
  <c r="AN3" i="12" s="1"/>
  <c r="AI3" i="12"/>
  <c r="AI15" i="12" s="1"/>
  <c r="O3" i="12"/>
  <c r="O15" i="12" s="1"/>
  <c r="H3" i="12"/>
  <c r="E3" i="12"/>
  <c r="E15" i="12" s="1"/>
  <c r="D7" i="9"/>
  <c r="I9" i="10"/>
  <c r="D9" i="9"/>
  <c r="D8" i="9"/>
  <c r="C7" i="9"/>
  <c r="B7" i="9"/>
  <c r="AF15" i="11"/>
  <c r="AD15" i="11"/>
  <c r="AB15" i="11"/>
  <c r="Z15" i="11"/>
  <c r="X15" i="11"/>
  <c r="V15" i="11"/>
  <c r="U15" i="11"/>
  <c r="T15" i="11"/>
  <c r="S15" i="11"/>
  <c r="R15" i="11"/>
  <c r="N15" i="11"/>
  <c r="L15" i="11"/>
  <c r="K15" i="11"/>
  <c r="J15" i="11"/>
  <c r="I15" i="11"/>
  <c r="G15" i="11"/>
  <c r="D15" i="11"/>
  <c r="C15" i="11"/>
  <c r="AN14" i="11"/>
  <c r="AM14" i="11"/>
  <c r="AL14" i="11"/>
  <c r="AI14" i="11"/>
  <c r="P14" i="11"/>
  <c r="O14" i="11"/>
  <c r="H14" i="11"/>
  <c r="E14" i="11"/>
  <c r="AM13" i="11"/>
  <c r="AL13" i="11"/>
  <c r="AN13" i="11" s="1"/>
  <c r="AI13" i="11"/>
  <c r="P13" i="11"/>
  <c r="O13" i="11"/>
  <c r="H13" i="11"/>
  <c r="E13" i="11"/>
  <c r="AG15" i="11"/>
  <c r="AE15" i="11"/>
  <c r="AC15" i="11"/>
  <c r="AA15" i="11"/>
  <c r="Y15" i="11"/>
  <c r="W15" i="11"/>
  <c r="Q15" i="11"/>
  <c r="M15" i="11"/>
  <c r="F15" i="11"/>
  <c r="AM8" i="11"/>
  <c r="AL8" i="11"/>
  <c r="AN8" i="11" s="1"/>
  <c r="AJ8" i="11"/>
  <c r="AJ15" i="11" s="1"/>
  <c r="AI8" i="11"/>
  <c r="P8" i="11"/>
  <c r="O8" i="11"/>
  <c r="H8" i="11"/>
  <c r="E8" i="11"/>
  <c r="AM7" i="11"/>
  <c r="AL7" i="11"/>
  <c r="AN7" i="11" s="1"/>
  <c r="AI7" i="11"/>
  <c r="P7" i="11"/>
  <c r="O7" i="11"/>
  <c r="H7" i="11"/>
  <c r="E7" i="11"/>
  <c r="AN6" i="11"/>
  <c r="AM6" i="11"/>
  <c r="AL6" i="11"/>
  <c r="AI6" i="11"/>
  <c r="O6" i="11"/>
  <c r="H6" i="11"/>
  <c r="P6" i="11" s="1"/>
  <c r="E6" i="11"/>
  <c r="AN5" i="11"/>
  <c r="AM5" i="11"/>
  <c r="AL5" i="11"/>
  <c r="AI5" i="11"/>
  <c r="P5" i="11"/>
  <c r="O5" i="11"/>
  <c r="H5" i="11"/>
  <c r="E5" i="11"/>
  <c r="AM4" i="11"/>
  <c r="AL4" i="11"/>
  <c r="AN4" i="11" s="1"/>
  <c r="AI4" i="11"/>
  <c r="P4" i="11"/>
  <c r="O4" i="11"/>
  <c r="H4" i="11"/>
  <c r="E4" i="11"/>
  <c r="AN3" i="11"/>
  <c r="AN15" i="11" s="1"/>
  <c r="AM3" i="11"/>
  <c r="AM15" i="11" s="1"/>
  <c r="AL3" i="11"/>
  <c r="AL15" i="11" s="1"/>
  <c r="AI3" i="11"/>
  <c r="O3" i="11"/>
  <c r="O15" i="11" s="1"/>
  <c r="H3" i="11"/>
  <c r="E3" i="11"/>
  <c r="E15" i="11" s="1"/>
  <c r="I10" i="10"/>
  <c r="C10" i="9"/>
  <c r="B10" i="9"/>
  <c r="E18" i="9" l="1"/>
  <c r="AN15" i="12"/>
  <c r="P3" i="12"/>
  <c r="H9" i="12"/>
  <c r="P9" i="12" s="1"/>
  <c r="AL15" i="12"/>
  <c r="D10" i="9"/>
  <c r="E12" i="9"/>
  <c r="AI15" i="11"/>
  <c r="P3" i="11"/>
  <c r="AG11" i="3"/>
  <c r="D9" i="7"/>
  <c r="D8" i="7"/>
  <c r="P15" i="12" l="1"/>
  <c r="H15" i="12"/>
  <c r="P15" i="11"/>
  <c r="H15" i="11"/>
  <c r="AJ8" i="3" l="1"/>
  <c r="AG10" i="3"/>
  <c r="C15" i="1" l="1"/>
  <c r="I15" i="3"/>
  <c r="J15" i="3"/>
  <c r="D15" i="1" s="1"/>
  <c r="M9" i="3"/>
  <c r="Q9" i="3"/>
  <c r="AE9" i="3"/>
  <c r="AA9" i="3"/>
  <c r="Y9" i="3"/>
  <c r="W9" i="3"/>
  <c r="AC9" i="3"/>
  <c r="AG9" i="3"/>
  <c r="F9" i="3" l="1"/>
  <c r="H9" i="3"/>
  <c r="P9" i="3" s="1"/>
  <c r="D10" i="5"/>
  <c r="D9" i="5"/>
  <c r="E14" i="5"/>
  <c r="AM14" i="3"/>
  <c r="AM13" i="3"/>
  <c r="AM12" i="3"/>
  <c r="AM11" i="3"/>
  <c r="AM10" i="3"/>
  <c r="AM9" i="3"/>
  <c r="AM8" i="3"/>
  <c r="AM7" i="3"/>
  <c r="AM6" i="3"/>
  <c r="AM5" i="3"/>
  <c r="AM4" i="3"/>
  <c r="AL14" i="3"/>
  <c r="AN14" i="3" s="1"/>
  <c r="AL13" i="3"/>
  <c r="AN13" i="3" s="1"/>
  <c r="AL12" i="3"/>
  <c r="AN12" i="3" s="1"/>
  <c r="AL11" i="3"/>
  <c r="AN11" i="3" s="1"/>
  <c r="AL10" i="3"/>
  <c r="AN10" i="3" s="1"/>
  <c r="AL9" i="3"/>
  <c r="AN9" i="3" s="1"/>
  <c r="AL8" i="3"/>
  <c r="AN8" i="3" s="1"/>
  <c r="AL7" i="3"/>
  <c r="AN7" i="3" s="1"/>
  <c r="AL6" i="3"/>
  <c r="AN6" i="3" s="1"/>
  <c r="AL5" i="3"/>
  <c r="AN5" i="3" s="1"/>
  <c r="AL4" i="3"/>
  <c r="AN4" i="3" s="1"/>
  <c r="AI14" i="3"/>
  <c r="AI13" i="3"/>
  <c r="AI12" i="3"/>
  <c r="AI11" i="3"/>
  <c r="AI10" i="3"/>
  <c r="AI9" i="3"/>
  <c r="AI8" i="3"/>
  <c r="AI7" i="3"/>
  <c r="AI6" i="3"/>
  <c r="AI5" i="3"/>
  <c r="AI4" i="3"/>
  <c r="O14" i="3"/>
  <c r="O13" i="3"/>
  <c r="O12" i="3"/>
  <c r="O11" i="3"/>
  <c r="O10" i="3"/>
  <c r="O9" i="3"/>
  <c r="O8" i="3"/>
  <c r="O7" i="3"/>
  <c r="O6" i="3"/>
  <c r="O5" i="3"/>
  <c r="O4" i="3"/>
  <c r="H14" i="3"/>
  <c r="P14" i="3" s="1"/>
  <c r="H13" i="3"/>
  <c r="P13" i="3" s="1"/>
  <c r="H12" i="3"/>
  <c r="P12" i="3" s="1"/>
  <c r="H11" i="3"/>
  <c r="P11" i="3" s="1"/>
  <c r="H10" i="3"/>
  <c r="P10" i="3" s="1"/>
  <c r="H8" i="3"/>
  <c r="P8" i="3" s="1"/>
  <c r="H7" i="3"/>
  <c r="P7" i="3" s="1"/>
  <c r="H6" i="3"/>
  <c r="P6" i="3" s="1"/>
  <c r="H5" i="3"/>
  <c r="P5" i="3" s="1"/>
  <c r="H4" i="3"/>
  <c r="P4" i="3" s="1"/>
  <c r="E14" i="3"/>
  <c r="E13" i="3"/>
  <c r="E12" i="3"/>
  <c r="E11" i="3"/>
  <c r="E10" i="3"/>
  <c r="E9" i="3"/>
  <c r="E8" i="3"/>
  <c r="E7" i="3"/>
  <c r="E6" i="3"/>
  <c r="E5" i="3"/>
  <c r="E4" i="3"/>
  <c r="AM3" i="3"/>
  <c r="AL3" i="3"/>
  <c r="AN3" i="3" s="1"/>
  <c r="AI3" i="3"/>
  <c r="O3" i="3"/>
  <c r="H3" i="3"/>
  <c r="P3" i="3" s="1"/>
  <c r="E3" i="3"/>
  <c r="AM15" i="3" l="1"/>
  <c r="AN15" i="3"/>
  <c r="G15" i="3"/>
  <c r="D15" i="3"/>
  <c r="I16" i="6" l="1"/>
  <c r="I17" i="6" s="1"/>
  <c r="D8" i="5" s="1"/>
  <c r="D14" i="5" s="1"/>
  <c r="AJ15" i="3"/>
  <c r="AG15" i="3"/>
  <c r="AL15" i="3"/>
  <c r="C8" i="5" s="1"/>
  <c r="AI15" i="3"/>
  <c r="C15" i="3"/>
  <c r="F15" i="3"/>
  <c r="K15" i="3"/>
  <c r="L15" i="3"/>
  <c r="M15" i="3"/>
  <c r="C13" i="1" s="1"/>
  <c r="N15" i="3"/>
  <c r="D13" i="1" s="1"/>
  <c r="Q15" i="3"/>
  <c r="R15" i="3"/>
  <c r="S15" i="3"/>
  <c r="T15" i="3"/>
  <c r="U15" i="3"/>
  <c r="V15" i="3"/>
  <c r="W15" i="3"/>
  <c r="C10" i="1" s="1"/>
  <c r="X15" i="3"/>
  <c r="D10" i="1" s="1"/>
  <c r="Y15" i="3"/>
  <c r="C11" i="1" s="1"/>
  <c r="Z15" i="3"/>
  <c r="D11" i="1" s="1"/>
  <c r="AA15" i="3"/>
  <c r="C12" i="1" s="1"/>
  <c r="AB15" i="3"/>
  <c r="D12" i="1" s="1"/>
  <c r="AC15" i="3"/>
  <c r="C14" i="1" s="1"/>
  <c r="AD15" i="3"/>
  <c r="D14" i="1" s="1"/>
  <c r="E14" i="1" s="1"/>
  <c r="AE15" i="3"/>
  <c r="C16" i="1" s="1"/>
  <c r="AF15" i="3"/>
  <c r="D16" i="1" s="1"/>
  <c r="O15" i="3"/>
  <c r="H15" i="3"/>
  <c r="E15" i="3"/>
  <c r="B8" i="5" l="1"/>
  <c r="B14" i="5" s="1"/>
  <c r="B10" i="7"/>
  <c r="E16" i="7"/>
  <c r="E18" i="7"/>
  <c r="C10" i="4"/>
  <c r="D6" i="1" s="1"/>
  <c r="C10" i="7"/>
  <c r="C22" i="5"/>
  <c r="C7" i="1"/>
  <c r="B10" i="4"/>
  <c r="C6" i="1" s="1"/>
  <c r="B22" i="5"/>
  <c r="C14" i="5"/>
  <c r="G16" i="5" s="1"/>
  <c r="P15" i="3"/>
  <c r="I26" i="8" s="1"/>
  <c r="D7" i="7" s="1"/>
  <c r="D10" i="7" s="1"/>
  <c r="E7" i="1" l="1"/>
  <c r="D7" i="1"/>
  <c r="G40" i="2"/>
  <c r="G8" i="5"/>
  <c r="G14" i="5" s="1"/>
  <c r="G22" i="5"/>
  <c r="G24" i="5"/>
  <c r="D7" i="14" l="1"/>
  <c r="D10" i="14" s="1"/>
  <c r="D12" i="14" s="1"/>
  <c r="D7" i="15"/>
  <c r="D10" i="15" s="1"/>
  <c r="D12" i="15" s="1"/>
  <c r="D10" i="4"/>
  <c r="E12" i="7"/>
  <c r="E6" i="1" l="1"/>
  <c r="D12" i="4"/>
</calcChain>
</file>

<file path=xl/sharedStrings.xml><?xml version="1.0" encoding="utf-8"?>
<sst xmlns="http://schemas.openxmlformats.org/spreadsheetml/2006/main" count="429" uniqueCount="187">
  <si>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</si>
  <si>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</si>
  <si>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</si>
  <si>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</si>
  <si>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</si>
  <si>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</si>
  <si>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</si>
  <si>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</si>
  <si>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</si>
  <si>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</si>
  <si>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</si>
  <si>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</si>
  <si>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</si>
  <si>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</si>
  <si>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</si>
  <si>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</si>
  <si>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</si>
  <si>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</si>
  <si>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</si>
  <si>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</si>
  <si>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</si>
  <si>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</si>
  <si>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</si>
  <si>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</si>
  <si>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</si>
  <si>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</si>
  <si>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</si>
  <si>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</si>
  <si>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</si>
  <si>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</si>
  <si>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</si>
  <si>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</si>
  <si>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</si>
  <si>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</si>
  <si>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</si>
  <si>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</si>
  <si>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</si>
  <si>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</si>
  <si>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</si>
  <si>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</si>
  <si>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</si>
  <si>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</si>
  <si>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</si>
  <si>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</si>
  <si>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</si>
  <si>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</si>
  <si>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</si>
  <si>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</si>
  <si>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</si>
  <si>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</si>
  <si>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</si>
  <si>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</si>
  <si>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</si>
  <si>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</si>
  <si>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</si>
  <si>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</si>
  <si>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</si>
  <si>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</si>
  <si>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</si>
  <si>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</si>
  <si>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</si>
  <si>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</si>
  <si>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</si>
  <si>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</si>
  <si>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</si>
  <si>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</si>
  <si>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</si>
  <si>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</si>
  <si>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</si>
  <si>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</si>
  <si>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</si>
  <si>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</si>
  <si>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</si>
  <si>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</si>
  <si>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</si>
  <si>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</si>
  <si>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</si>
  <si>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</si>
  <si>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</si>
  <si>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</si>
  <si>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Сызранова, 24-1</t>
  </si>
  <si>
    <t>в доме по адресу ул. Сызранова, 24-1</t>
  </si>
  <si>
    <t>Остаток денежных средств дома на 01.06.2015 г</t>
  </si>
  <si>
    <t>июнь</t>
  </si>
  <si>
    <t>Смена труб ГВС</t>
  </si>
  <si>
    <t>подвал, кв. 81.</t>
  </si>
  <si>
    <t>ТрубаPN 20 ф 32 мм-4 м/п</t>
  </si>
  <si>
    <t>Объем выполненных работ</t>
  </si>
  <si>
    <t>придомовая территория</t>
  </si>
  <si>
    <t>покос травы</t>
  </si>
  <si>
    <t>250 м 2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</si>
  <si>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</si>
  <si>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"ТаганСервис"___________________________________________Брехов Ю.А.</t>
  </si>
  <si>
    <t>в доме по  адресу ул. Сызранова, 24-1 за период с 01.06.2015 по 31.07.2015гг.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</si>
  <si>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</si>
  <si>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Сызранова, 24-1</t>
  </si>
  <si>
    <t>Остаток денежных средств дома на 31.07.2015 г</t>
  </si>
  <si>
    <t>июль</t>
  </si>
  <si>
    <t>кв. 108</t>
  </si>
  <si>
    <t>ремонт щита этажного</t>
  </si>
  <si>
    <t>кв. 139</t>
  </si>
  <si>
    <t>ремонт электрооборудования</t>
  </si>
  <si>
    <t>ремонт межпанельных швов</t>
  </si>
  <si>
    <t>164 м/п</t>
  </si>
  <si>
    <t>ремонт ввода и внутридомовой системы ЦО</t>
  </si>
  <si>
    <t>подъезд 1,3,4</t>
  </si>
  <si>
    <t>устройство аншлага (информационная табличка)</t>
  </si>
  <si>
    <t>3 шт</t>
  </si>
  <si>
    <t>гидравлическое испытание внутридомовой системы ЦО</t>
  </si>
  <si>
    <t>4860 м/п</t>
  </si>
  <si>
    <t>гидравлическое испытание ввода  ЦО</t>
  </si>
  <si>
    <t xml:space="preserve">100 м/п </t>
  </si>
  <si>
    <t>Содержание и Ремонт жилья</t>
  </si>
  <si>
    <t>дезинсекция(блохи)</t>
  </si>
  <si>
    <t>1306,4 м2</t>
  </si>
  <si>
    <t>совет МКДм</t>
  </si>
  <si>
    <t>совет мкд начисленно</t>
  </si>
  <si>
    <t>совет мкд полученно</t>
  </si>
  <si>
    <t>дебиторская задолженность жителей по состоянию  на 01.08.2015 г. состовляет:</t>
  </si>
  <si>
    <t>Переходящее сальдо на 01.06.2015г.</t>
  </si>
  <si>
    <t>август</t>
  </si>
  <si>
    <t>кв. 93,113,143</t>
  </si>
  <si>
    <t>ремонт ГВС</t>
  </si>
  <si>
    <t>смена труб 3,5 м/п</t>
  </si>
  <si>
    <t>смена крана шарового 15 мм-3 шт, смена крана шарового 25 мм-3 шт,смена фасонных частей -4 шт</t>
  </si>
  <si>
    <t>кв. 16,15,17</t>
  </si>
  <si>
    <t>гидравлическое испытание трубопровода ГВС</t>
  </si>
  <si>
    <t>ф 80 мм- 820 м/п, ф 50 мм-120 м/п</t>
  </si>
  <si>
    <t>ремонт трубопровода ГВС</t>
  </si>
  <si>
    <t>установка и снятие заглушек 80 мм-1 шт, 50 мм-1 шт с их изготовлением</t>
  </si>
  <si>
    <t>дебиторская задолженность жителей по состоянию  на 01.09.2015 г. состовляет:</t>
  </si>
  <si>
    <t xml:space="preserve">Информация о выполненных работах по статье "Содержание и Ремонт жилья" по адресу ул. Сызранова, 24-1  за III квартал 2015 г </t>
  </si>
  <si>
    <t>Информация о собранных и израсходованных денежных средствах по статье "Содержание и Ремонт Жилья" за III квартал 2015 г  по адресу ул. Сызранова, 24-1</t>
  </si>
  <si>
    <t>Переходящее сальдо на 01.07.2015г.</t>
  </si>
  <si>
    <t>сентябрь</t>
  </si>
  <si>
    <t>кв. 47</t>
  </si>
  <si>
    <t>подвал</t>
  </si>
  <si>
    <t>ремонт ГВС(стояк)</t>
  </si>
  <si>
    <t>смена труб 0,5 м/п</t>
  </si>
  <si>
    <t>кв.132</t>
  </si>
  <si>
    <t>слив воды из системы ЦО (два стояка)</t>
  </si>
  <si>
    <t>кв. 112,подвал,подъезд 3,4</t>
  </si>
  <si>
    <t>устранение засора труб КНС (выпуск)</t>
  </si>
  <si>
    <t>Остаток денежных средств дома на 30.09.2015 г</t>
  </si>
  <si>
    <t>Переходящее сальдо на 01.07.2015 г</t>
  </si>
  <si>
    <t>дебиторская задолженность жителей по состоянию  на 01.10.2015 г. состовляет:</t>
  </si>
  <si>
    <t xml:space="preserve">Информация о выполненных работах по статье "Содержание и Ремонт жилья" по адресу ул. Сызранова, 24-1  за период 01.06.2015 г по 30.07.2015 г </t>
  </si>
  <si>
    <t>Остаток денежных средств дома на 30.07.2015 г</t>
  </si>
  <si>
    <t>дебиторская задолженность жителей по состоянию  на 01.07.2015 г. состовляет:</t>
  </si>
  <si>
    <t>Информация о собранных и израсходованных денежных средствах по статье "Содержание и Ремонт Жилья" за период с 01.06.2015 г по 30.07. 2015 г  по адресу ул. Сызранова, 24-1</t>
  </si>
  <si>
    <t>Информация о собранных и израсходованных денежных средствах по статье "Содержание и Ремонт Жилья" за период с 01.06.2015 г по 31.12.2015 г по адресу ул. Сызранова, 24-1</t>
  </si>
  <si>
    <t>Остаток денежных средств дома на 31.12.2015 г</t>
  </si>
  <si>
    <t>частичная смена труб ГВС</t>
  </si>
  <si>
    <t>ремонт электроосвещения в подъезде</t>
  </si>
  <si>
    <t>устранение засора труб КНС</t>
  </si>
  <si>
    <t>Переходящее сальдо на 01.01.2016г.</t>
  </si>
  <si>
    <t>Информация о собранных и израсходованных денежных средствах по статье "Содержание и Ремонт Жилья" за период с 01.01.2016 г по 30.04.2016 г по адресу ул. Сызранова, 24-1</t>
  </si>
  <si>
    <t>Остаток денежных средств дома на 30.04.2016 г</t>
  </si>
  <si>
    <t>Остаток денежных средств дома на 01.01.2016 г</t>
  </si>
  <si>
    <t>дебиторская задолженность жителей по состоянию  на 01.05.2016 г. состовляет:</t>
  </si>
  <si>
    <t xml:space="preserve">Информация о выполненных работах по статье "Содержание и Ремонт жилья" по адресу ул. Сызранова, 24-1  за период 01.01.2016 г по 30.04.2016 г </t>
  </si>
  <si>
    <t>корректировка сметы №3 от 30.07.2015 г</t>
  </si>
  <si>
    <t>корректировка сметы №4 от 30.07.2015 г</t>
  </si>
  <si>
    <t xml:space="preserve">корректировка сметы №18 от 30.08.2015 г </t>
  </si>
  <si>
    <t xml:space="preserve">корректировка сметы №31 от 30.10.2015 г </t>
  </si>
  <si>
    <t>январь</t>
  </si>
  <si>
    <t>кв. 108,104,100,96,92,88,84(по кухне)</t>
  </si>
  <si>
    <t>смена труб стояков ХВС,ГВС,КНС</t>
  </si>
  <si>
    <t>ГВС и ХВС -63 м/п; КНС-24м/п</t>
  </si>
  <si>
    <t>кв.33,34,35,36</t>
  </si>
  <si>
    <t>смена труб ГВС(закольцовка)</t>
  </si>
  <si>
    <t>34 м/п</t>
  </si>
  <si>
    <t>кв.36</t>
  </si>
  <si>
    <t>ремонт мягкой кровли (в местах примыкания)</t>
  </si>
  <si>
    <t>кв.155,подъезд</t>
  </si>
  <si>
    <t>1 м/п</t>
  </si>
  <si>
    <t>кв.108</t>
  </si>
  <si>
    <t>подъезд 5 этаж 8</t>
  </si>
  <si>
    <t>март</t>
  </si>
  <si>
    <t>кв.140</t>
  </si>
  <si>
    <t>апрель</t>
  </si>
  <si>
    <t>кв.71</t>
  </si>
  <si>
    <t>ремонт кровли</t>
  </si>
  <si>
    <t>подъезд 1 этаж 8</t>
  </si>
  <si>
    <t>замена ламп,выключателя</t>
  </si>
  <si>
    <t>кв.170</t>
  </si>
  <si>
    <t>ремонт эл.щита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</si>
</sst>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1" fillId="0" borderId="3" xfId="0" applyFont="1" applyBorder="1"/>
    <xf numFmtId="0" fontId="1" fillId="0" borderId="2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3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1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5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2" xfId="0" applyNumberFormat="1" applyFont="1" applyBorder="1"/>
    <xf numFmtId="0" fontId="1" fillId="0" borderId="32" xfId="0" applyFont="1" applyBorder="1" applyAlignment="1">
      <alignment wrapText="1"/>
    </xf>
    <xf numFmtId="0" fontId="0" fillId="0" borderId="33" xfId="0" applyBorder="1"/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5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wrapText="1"/>
    </xf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1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2" xfId="0" applyNumberFormat="1" applyFill="1" applyBorder="1" applyAlignment="1">
      <alignment horizontal="center" vertical="center"/>
    </xf>
    <xf numFmtId="2" fontId="0" fillId="0" borderId="34" xfId="0" applyNumberFormat="1" applyBorder="1"/>
    <xf numFmtId="2" fontId="0" fillId="0" borderId="28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5" xfId="0" applyNumberFormat="1" applyBorder="1" applyAlignment="1">
      <alignment vertical="center"/>
    </xf>
    <xf numFmtId="0" fontId="1" fillId="0" borderId="0" xfId="0" applyFont="1" applyFill="1" applyBorder="1" applyAlignment="1"/>
    <xf numFmtId="0" fontId="9" fillId="0" borderId="0" xfId="0" applyFont="1"/>
    <xf numFmtId="2" fontId="9" fillId="0" borderId="0" xfId="0" applyNumberFormat="1" applyFont="1"/>
    <xf numFmtId="0" fontId="1" fillId="0" borderId="29" xfId="0" applyFont="1" applyBorder="1" applyAlignment="1">
      <alignment wrapText="1"/>
    </xf>
    <xf numFmtId="0" fontId="0" fillId="0" borderId="30" xfId="0" applyBorder="1"/>
    <xf numFmtId="0" fontId="0" fillId="2" borderId="24" xfId="0" applyFill="1" applyBorder="1"/>
    <xf numFmtId="0" fontId="0" fillId="0" borderId="15" xfId="0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/>
    <xf numFmtId="0" fontId="3" fillId="0" borderId="0" xfId="0" applyFont="1" applyAlignment="1">
      <alignment horizontal="left" wrapText="1"/>
    </xf>
    <xf numFmtId="0" fontId="0" fillId="0" borderId="40" xfId="0" applyNumberFormat="1" applyBorder="1" applyAlignment="1">
      <alignment horizontal="center" vertical="center"/>
    </xf>
    <xf numFmtId="0" fontId="10" fillId="0" borderId="1" xfId="0" applyFont="1" applyBorder="1" applyAlignment="1"/>
    <xf numFmtId="2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5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2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2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2" fontId="4" fillId="0" borderId="38" xfId="0" applyNumberFormat="1" applyFont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</sheetNames>
    <sheetDataSet>
      <sheetData sheetId="0"/>
      <sheetData sheetId="1"/>
      <sheetData sheetId="2"/>
      <sheetData sheetId="3"/>
      <sheetData sheetId="4"/>
      <sheetData sheetId="5"/>
      <sheetData sheetId="6">
        <row r="50">
          <cell r="AF50">
            <v>702604.21000000008</v>
          </cell>
          <cell r="AH50">
            <v>548972.26</v>
          </cell>
          <cell r="AJ50">
            <v>8234.5838999999996</v>
          </cell>
          <cell r="AL50">
            <v>3623.8386</v>
          </cell>
          <cell r="BB50">
            <v>116063.21999999997</v>
          </cell>
          <cell r="BD50">
            <v>10005.450000000001</v>
          </cell>
        </row>
      </sheetData>
      <sheetData sheetId="7"/>
      <sheetData sheetId="8"/>
      <sheetData sheetId="9"/>
      <sheetData sheetId="10">
        <row r="50">
          <cell r="AJ50">
            <v>1060341.4400000002</v>
          </cell>
          <cell r="AL50">
            <v>859301.22</v>
          </cell>
          <cell r="AN50">
            <v>12889.518300000002</v>
          </cell>
          <cell r="AP50">
            <v>5819.9279999999999</v>
          </cell>
          <cell r="BF50">
            <v>182385.05999999994</v>
          </cell>
          <cell r="BH50">
            <v>15722.850000000002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opLeftCell="O1" workbookViewId="0">
      <selection activeCell="AJ12" sqref="AJ12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10" width="12.85546875" customWidth="1"/>
    <col min="11" max="11" width="12.42578125" customWidth="1"/>
    <col min="12" max="12" width="11.85546875" customWidth="1"/>
    <col min="13" max="13" width="12.85546875" customWidth="1"/>
    <col min="14" max="14" width="11.140625" customWidth="1"/>
    <col min="15" max="15" width="10.28515625" customWidth="1"/>
    <col min="16" max="16" width="9.28515625" customWidth="1"/>
    <col min="17" max="17" width="12.140625" customWidth="1"/>
    <col min="18" max="18" width="11.85546875" customWidth="1"/>
    <col min="19" max="19" width="10.140625" customWidth="1"/>
    <col min="20" max="20" width="10.5703125" customWidth="1"/>
  </cols>
  <sheetData>
    <row r="1" spans="1:40" ht="13.5" thickBot="1" x14ac:dyDescent="0.25"/>
    <row r="2" spans="1:40" ht="55.5" customHeight="1" thickBot="1" x14ac:dyDescent="0.25">
      <c r="A2" s="13" t="s">
        <v>26</v>
      </c>
      <c r="B2" s="14" t="s">
        <v>27</v>
      </c>
      <c r="C2" s="14" t="s">
        <v>28</v>
      </c>
      <c r="D2" s="14" t="s">
        <v>30</v>
      </c>
      <c r="E2" s="17" t="s">
        <v>37</v>
      </c>
      <c r="F2" s="14" t="s">
        <v>29</v>
      </c>
      <c r="G2" s="14" t="s">
        <v>31</v>
      </c>
      <c r="H2" s="17" t="s">
        <v>38</v>
      </c>
      <c r="I2" s="17" t="s">
        <v>116</v>
      </c>
      <c r="J2" s="17" t="s">
        <v>117</v>
      </c>
      <c r="K2" s="14" t="s">
        <v>32</v>
      </c>
      <c r="L2" s="14" t="s">
        <v>33</v>
      </c>
      <c r="M2" s="14" t="s">
        <v>55</v>
      </c>
      <c r="N2" s="14" t="s">
        <v>34</v>
      </c>
      <c r="O2" s="17" t="s">
        <v>35</v>
      </c>
      <c r="P2" s="17" t="s">
        <v>36</v>
      </c>
      <c r="Q2" s="15" t="s">
        <v>39</v>
      </c>
      <c r="R2" s="15" t="s">
        <v>40</v>
      </c>
      <c r="S2" s="15" t="s">
        <v>41</v>
      </c>
      <c r="T2" s="15" t="s">
        <v>42</v>
      </c>
      <c r="U2" s="15" t="s">
        <v>43</v>
      </c>
      <c r="V2" s="15" t="s">
        <v>44</v>
      </c>
      <c r="W2" s="15" t="s">
        <v>45</v>
      </c>
      <c r="X2" s="15" t="s">
        <v>46</v>
      </c>
      <c r="Y2" s="15" t="s">
        <v>47</v>
      </c>
      <c r="Z2" s="15" t="s">
        <v>48</v>
      </c>
      <c r="AA2" s="15" t="s">
        <v>49</v>
      </c>
      <c r="AB2" s="15" t="s">
        <v>50</v>
      </c>
      <c r="AC2" s="15" t="s">
        <v>51</v>
      </c>
      <c r="AD2" s="15" t="s">
        <v>52</v>
      </c>
      <c r="AE2" s="15" t="s">
        <v>53</v>
      </c>
      <c r="AF2" s="16" t="s">
        <v>54</v>
      </c>
      <c r="AG2" s="14" t="s">
        <v>56</v>
      </c>
      <c r="AH2" s="14" t="s">
        <v>30</v>
      </c>
      <c r="AI2" s="17" t="s">
        <v>37</v>
      </c>
      <c r="AJ2" s="14" t="s">
        <v>57</v>
      </c>
      <c r="AK2" s="14" t="s">
        <v>31</v>
      </c>
      <c r="AL2" s="17" t="s">
        <v>38</v>
      </c>
      <c r="AM2" s="17" t="s">
        <v>77</v>
      </c>
      <c r="AN2" s="17" t="s">
        <v>36</v>
      </c>
    </row>
    <row r="3" spans="1:40" x14ac:dyDescent="0.2">
      <c r="A3" s="12" t="s">
        <v>80</v>
      </c>
      <c r="B3" s="5">
        <v>9522.7000000000007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18"/>
      <c r="J3" s="18"/>
      <c r="K3" s="5">
        <v>0</v>
      </c>
      <c r="L3" s="5">
        <v>0</v>
      </c>
      <c r="M3" s="5">
        <v>0</v>
      </c>
      <c r="N3" s="5">
        <v>0</v>
      </c>
      <c r="O3" s="18">
        <f>(K3+L3+N3)*1.5%</f>
        <v>0</v>
      </c>
      <c r="P3" s="20">
        <f>H3*1.5%</f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18">
        <f>AG3+AH3</f>
        <v>0</v>
      </c>
      <c r="AJ3" s="5">
        <v>0</v>
      </c>
      <c r="AK3" s="5">
        <v>0</v>
      </c>
      <c r="AL3" s="18">
        <f>AJ3+AK3</f>
        <v>0</v>
      </c>
      <c r="AM3" s="54">
        <f>AD3*1.5%</f>
        <v>0</v>
      </c>
      <c r="AN3" s="20">
        <f>AL3*1.5%</f>
        <v>0</v>
      </c>
    </row>
    <row r="4" spans="1:40" x14ac:dyDescent="0.2">
      <c r="A4" s="12" t="s">
        <v>80</v>
      </c>
      <c r="B4" s="5">
        <v>9522.7000000000007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18"/>
      <c r="J4" s="18"/>
      <c r="K4" s="5">
        <v>0</v>
      </c>
      <c r="L4" s="5">
        <v>0</v>
      </c>
      <c r="M4" s="5">
        <v>0</v>
      </c>
      <c r="N4" s="5">
        <v>0</v>
      </c>
      <c r="O4" s="18">
        <f t="shared" ref="O4:O14" si="2">(K4+L4+N4)*1.5%</f>
        <v>0</v>
      </c>
      <c r="P4" s="20">
        <f t="shared" ref="P4:P14" si="3">H4*1.5%</f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18">
        <f t="shared" ref="AI4:AI14" si="4">AG4+AH4</f>
        <v>0</v>
      </c>
      <c r="AJ4" s="5">
        <v>0</v>
      </c>
      <c r="AK4" s="5">
        <v>0</v>
      </c>
      <c r="AL4" s="18">
        <f t="shared" ref="AL4:AL14" si="5">AJ4+AK4</f>
        <v>0</v>
      </c>
      <c r="AM4" s="54">
        <f t="shared" ref="AM4:AM14" si="6">AD4*1.5%</f>
        <v>0</v>
      </c>
      <c r="AN4" s="20">
        <f t="shared" ref="AN4:AN14" si="7">AL4*1.5%</f>
        <v>0</v>
      </c>
    </row>
    <row r="5" spans="1:40" x14ac:dyDescent="0.2">
      <c r="A5" s="12" t="s">
        <v>80</v>
      </c>
      <c r="B5" s="5">
        <v>9522.7000000000007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18"/>
      <c r="J5" s="18"/>
      <c r="K5" s="5">
        <v>0</v>
      </c>
      <c r="L5" s="5">
        <v>0</v>
      </c>
      <c r="M5" s="5">
        <v>0</v>
      </c>
      <c r="N5" s="5">
        <v>0</v>
      </c>
      <c r="O5" s="18">
        <f t="shared" si="2"/>
        <v>0</v>
      </c>
      <c r="P5" s="20">
        <f t="shared" si="3"/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18">
        <f t="shared" si="4"/>
        <v>0</v>
      </c>
      <c r="AJ5" s="5">
        <v>0</v>
      </c>
      <c r="AK5" s="5">
        <v>0</v>
      </c>
      <c r="AL5" s="18">
        <f t="shared" si="5"/>
        <v>0</v>
      </c>
      <c r="AM5" s="54">
        <f t="shared" si="6"/>
        <v>0</v>
      </c>
      <c r="AN5" s="20">
        <f t="shared" si="7"/>
        <v>0</v>
      </c>
    </row>
    <row r="6" spans="1:40" x14ac:dyDescent="0.2">
      <c r="A6" s="12" t="s">
        <v>80</v>
      </c>
      <c r="B6" s="5">
        <v>9522.7000000000007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18"/>
      <c r="J6" s="18"/>
      <c r="K6" s="5">
        <v>0</v>
      </c>
      <c r="L6" s="5">
        <v>0</v>
      </c>
      <c r="M6" s="5">
        <v>0</v>
      </c>
      <c r="N6" s="5">
        <v>0</v>
      </c>
      <c r="O6" s="18">
        <f t="shared" si="2"/>
        <v>0</v>
      </c>
      <c r="P6" s="20">
        <f t="shared" si="3"/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18">
        <f t="shared" si="4"/>
        <v>0</v>
      </c>
      <c r="AJ6" s="5">
        <v>0</v>
      </c>
      <c r="AK6" s="5">
        <v>0</v>
      </c>
      <c r="AL6" s="18">
        <f t="shared" si="5"/>
        <v>0</v>
      </c>
      <c r="AM6" s="54">
        <f t="shared" si="6"/>
        <v>0</v>
      </c>
      <c r="AN6" s="20">
        <f t="shared" si="7"/>
        <v>0</v>
      </c>
    </row>
    <row r="7" spans="1:40" x14ac:dyDescent="0.2">
      <c r="A7" s="12" t="s">
        <v>80</v>
      </c>
      <c r="B7" s="5">
        <v>9522.7000000000007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18"/>
      <c r="J7" s="18"/>
      <c r="K7" s="5">
        <v>0</v>
      </c>
      <c r="L7" s="5">
        <v>0</v>
      </c>
      <c r="M7" s="5">
        <v>0</v>
      </c>
      <c r="N7" s="5">
        <v>0</v>
      </c>
      <c r="O7" s="18">
        <f t="shared" si="2"/>
        <v>0</v>
      </c>
      <c r="P7" s="20">
        <f t="shared" si="3"/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18">
        <f t="shared" si="4"/>
        <v>0</v>
      </c>
      <c r="AJ7" s="5">
        <v>0</v>
      </c>
      <c r="AK7" s="5">
        <v>0</v>
      </c>
      <c r="AL7" s="18">
        <f t="shared" si="5"/>
        <v>0</v>
      </c>
      <c r="AM7" s="54">
        <f t="shared" si="6"/>
        <v>0</v>
      </c>
      <c r="AN7" s="20">
        <f t="shared" si="7"/>
        <v>0</v>
      </c>
    </row>
    <row r="8" spans="1:40" x14ac:dyDescent="0.2">
      <c r="A8" s="12" t="s">
        <v>80</v>
      </c>
      <c r="B8" s="5">
        <v>9522.7000000000007</v>
      </c>
      <c r="C8" s="2">
        <v>40402.97</v>
      </c>
      <c r="D8" s="2">
        <v>0</v>
      </c>
      <c r="E8" s="18">
        <f t="shared" si="0"/>
        <v>40402.97</v>
      </c>
      <c r="F8" s="2">
        <v>2469.31</v>
      </c>
      <c r="G8" s="2">
        <v>0</v>
      </c>
      <c r="H8" s="18">
        <f t="shared" si="1"/>
        <v>2469.31</v>
      </c>
      <c r="I8" s="18"/>
      <c r="J8" s="18"/>
      <c r="K8" s="2">
        <v>0</v>
      </c>
      <c r="L8" s="2">
        <v>0</v>
      </c>
      <c r="M8" s="2">
        <v>36019.65</v>
      </c>
      <c r="N8" s="2">
        <v>2210.44</v>
      </c>
      <c r="O8" s="18">
        <f t="shared" si="2"/>
        <v>33.156599999999997</v>
      </c>
      <c r="P8" s="20">
        <f t="shared" si="3"/>
        <v>37.039649999999995</v>
      </c>
      <c r="Q8" s="2">
        <v>5336.23</v>
      </c>
      <c r="R8" s="2">
        <v>326.16000000000003</v>
      </c>
      <c r="S8" s="2">
        <v>0</v>
      </c>
      <c r="T8" s="2">
        <v>0</v>
      </c>
      <c r="U8" s="2">
        <v>0</v>
      </c>
      <c r="V8" s="2">
        <v>0</v>
      </c>
      <c r="W8" s="2">
        <v>18105.099999999999</v>
      </c>
      <c r="X8" s="2">
        <v>1106.56</v>
      </c>
      <c r="Y8" s="2">
        <v>1771.75</v>
      </c>
      <c r="Z8" s="2">
        <v>228.16</v>
      </c>
      <c r="AA8" s="2">
        <v>17152.2</v>
      </c>
      <c r="AB8" s="2">
        <v>1048.3</v>
      </c>
      <c r="AC8" s="2">
        <v>1048.22</v>
      </c>
      <c r="AD8" s="2">
        <v>64.040000000000006</v>
      </c>
      <c r="AE8" s="2">
        <v>20392.07</v>
      </c>
      <c r="AF8" s="2">
        <v>1246.3</v>
      </c>
      <c r="AG8" s="2">
        <v>45834.52</v>
      </c>
      <c r="AH8" s="2">
        <v>0</v>
      </c>
      <c r="AI8" s="18">
        <f t="shared" si="4"/>
        <v>45834.52</v>
      </c>
      <c r="AJ8" s="2">
        <f>2801.29-2083.49</f>
        <v>717.80000000000018</v>
      </c>
      <c r="AK8" s="2">
        <v>0</v>
      </c>
      <c r="AL8" s="18">
        <f t="shared" si="5"/>
        <v>717.80000000000018</v>
      </c>
      <c r="AM8" s="54">
        <f t="shared" si="6"/>
        <v>0.96060000000000001</v>
      </c>
      <c r="AN8" s="20">
        <f t="shared" si="7"/>
        <v>10.767000000000003</v>
      </c>
    </row>
    <row r="9" spans="1:40" x14ac:dyDescent="0.2">
      <c r="A9" s="12" t="s">
        <v>80</v>
      </c>
      <c r="B9" s="5">
        <v>9522.7000000000007</v>
      </c>
      <c r="C9" s="2">
        <v>0</v>
      </c>
      <c r="D9" s="2">
        <v>0</v>
      </c>
      <c r="E9" s="18">
        <f t="shared" si="0"/>
        <v>0</v>
      </c>
      <c r="F9" s="2">
        <f>34000.6-128.64</f>
        <v>33871.96</v>
      </c>
      <c r="G9" s="2">
        <v>0</v>
      </c>
      <c r="H9" s="18">
        <f t="shared" si="1"/>
        <v>33871.96</v>
      </c>
      <c r="I9" s="18">
        <v>9529</v>
      </c>
      <c r="J9" s="18">
        <v>9858.48</v>
      </c>
      <c r="K9" s="2">
        <v>0</v>
      </c>
      <c r="L9" s="2">
        <v>0</v>
      </c>
      <c r="M9" s="2">
        <f>37163.1</f>
        <v>37163.1</v>
      </c>
      <c r="N9" s="2">
        <v>37482.74</v>
      </c>
      <c r="O9" s="18">
        <f t="shared" si="2"/>
        <v>562.24109999999996</v>
      </c>
      <c r="P9" s="20">
        <f t="shared" si="3"/>
        <v>508.07939999999996</v>
      </c>
      <c r="Q9" s="2">
        <f>5717.4</f>
        <v>5717.4</v>
      </c>
      <c r="R9" s="2">
        <v>5593.3</v>
      </c>
      <c r="S9" s="2">
        <v>0</v>
      </c>
      <c r="T9" s="2">
        <v>0</v>
      </c>
      <c r="U9" s="2">
        <v>0</v>
      </c>
      <c r="V9" s="2">
        <v>0</v>
      </c>
      <c r="W9" s="2">
        <f>18105.1</f>
        <v>18105.099999999999</v>
      </c>
      <c r="X9" s="2">
        <v>18732.34</v>
      </c>
      <c r="Y9" s="2">
        <f>1867</f>
        <v>1867</v>
      </c>
      <c r="Z9" s="2">
        <v>1661.94</v>
      </c>
      <c r="AA9" s="2">
        <f>17914.55</f>
        <v>17914.55</v>
      </c>
      <c r="AB9" s="2">
        <v>18084.52</v>
      </c>
      <c r="AC9" s="2">
        <f>1619.97</f>
        <v>1619.97</v>
      </c>
      <c r="AD9" s="2">
        <v>1193.31</v>
      </c>
      <c r="AE9" s="2">
        <f>21630.87</f>
        <v>21630.87</v>
      </c>
      <c r="AF9" s="2">
        <v>21333.16</v>
      </c>
      <c r="AG9" s="2">
        <f>89858.53</f>
        <v>89858.53</v>
      </c>
      <c r="AH9" s="2">
        <v>0</v>
      </c>
      <c r="AI9" s="18">
        <f t="shared" si="4"/>
        <v>89858.53</v>
      </c>
      <c r="AJ9" s="2">
        <v>55808.46</v>
      </c>
      <c r="AK9" s="2">
        <v>0</v>
      </c>
      <c r="AL9" s="18">
        <f t="shared" si="5"/>
        <v>55808.46</v>
      </c>
      <c r="AM9" s="54">
        <f t="shared" si="6"/>
        <v>17.899649999999998</v>
      </c>
      <c r="AN9" s="20">
        <f t="shared" si="7"/>
        <v>837.12689999999998</v>
      </c>
    </row>
    <row r="10" spans="1:40" x14ac:dyDescent="0.2">
      <c r="A10" s="12" t="s">
        <v>80</v>
      </c>
      <c r="B10" s="5">
        <v>9522.7000000000007</v>
      </c>
      <c r="C10" s="2">
        <v>1648.28</v>
      </c>
      <c r="D10" s="2">
        <v>0</v>
      </c>
      <c r="E10" s="18">
        <f t="shared" si="0"/>
        <v>1648.28</v>
      </c>
      <c r="F10" s="2">
        <v>2555.1999999999998</v>
      </c>
      <c r="G10" s="2">
        <v>0</v>
      </c>
      <c r="H10" s="18">
        <f t="shared" si="1"/>
        <v>2555.1999999999998</v>
      </c>
      <c r="I10" s="18">
        <v>9529</v>
      </c>
      <c r="J10" s="18">
        <v>582.38</v>
      </c>
      <c r="K10" s="2">
        <v>0</v>
      </c>
      <c r="L10" s="2">
        <v>0</v>
      </c>
      <c r="M10" s="2">
        <v>37163.1</v>
      </c>
      <c r="N10" s="2">
        <v>34013.33</v>
      </c>
      <c r="O10" s="18">
        <f t="shared" si="2"/>
        <v>510.19995</v>
      </c>
      <c r="P10" s="20">
        <f t="shared" si="3"/>
        <v>38.327999999999996</v>
      </c>
      <c r="Q10" s="2">
        <v>5717.4</v>
      </c>
      <c r="R10" s="2">
        <v>5223.03</v>
      </c>
      <c r="S10" s="2">
        <v>0</v>
      </c>
      <c r="T10" s="2">
        <v>0</v>
      </c>
      <c r="U10" s="2">
        <v>0</v>
      </c>
      <c r="V10" s="2">
        <v>0</v>
      </c>
      <c r="W10" s="2">
        <v>18105.099999999999</v>
      </c>
      <c r="X10" s="2">
        <v>16596.14</v>
      </c>
      <c r="Y10" s="2">
        <v>1867</v>
      </c>
      <c r="Z10" s="2">
        <v>1835.86</v>
      </c>
      <c r="AA10" s="2">
        <v>17914.55</v>
      </c>
      <c r="AB10" s="2">
        <v>17042.490000000002</v>
      </c>
      <c r="AC10" s="2">
        <v>1619.97</v>
      </c>
      <c r="AD10" s="2">
        <v>1457.88</v>
      </c>
      <c r="AE10" s="2">
        <v>21630.87</v>
      </c>
      <c r="AF10" s="2">
        <v>19770.099999999999</v>
      </c>
      <c r="AG10" s="2">
        <f>89858.53-1648.28</f>
        <v>88210.25</v>
      </c>
      <c r="AH10" s="2">
        <v>0</v>
      </c>
      <c r="AI10" s="18">
        <f t="shared" si="4"/>
        <v>88210.25</v>
      </c>
      <c r="AJ10" s="2">
        <v>79358.28</v>
      </c>
      <c r="AK10" s="2"/>
      <c r="AL10" s="18">
        <f t="shared" si="5"/>
        <v>79358.28</v>
      </c>
      <c r="AM10" s="54">
        <f t="shared" si="6"/>
        <v>21.868200000000002</v>
      </c>
      <c r="AN10" s="20">
        <f t="shared" si="7"/>
        <v>1190.3742</v>
      </c>
    </row>
    <row r="11" spans="1:40" x14ac:dyDescent="0.2">
      <c r="A11" s="12" t="s">
        <v>80</v>
      </c>
      <c r="B11" s="5">
        <v>9522.7000000000007</v>
      </c>
      <c r="C11" s="2"/>
      <c r="D11" s="2"/>
      <c r="E11" s="18">
        <f t="shared" si="0"/>
        <v>0</v>
      </c>
      <c r="F11" s="2">
        <v>406.81</v>
      </c>
      <c r="G11" s="2"/>
      <c r="H11" s="18">
        <f t="shared" si="1"/>
        <v>406.81</v>
      </c>
      <c r="I11" s="18"/>
      <c r="J11" s="18"/>
      <c r="K11" s="2"/>
      <c r="L11" s="2"/>
      <c r="M11" s="2"/>
      <c r="N11" s="2">
        <v>34478.160000000003</v>
      </c>
      <c r="O11" s="18">
        <f t="shared" si="2"/>
        <v>517.17240000000004</v>
      </c>
      <c r="P11" s="20">
        <f t="shared" si="3"/>
        <v>6.10215</v>
      </c>
      <c r="Q11" s="2">
        <v>5717.4</v>
      </c>
      <c r="R11" s="2">
        <v>5302.44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>
        <v>1498.2</v>
      </c>
      <c r="AE11" s="2"/>
      <c r="AF11" s="2"/>
      <c r="AG11" s="2">
        <f>89858.53-5598</f>
        <v>84260.53</v>
      </c>
      <c r="AH11" s="2"/>
      <c r="AI11" s="18">
        <f t="shared" si="4"/>
        <v>84260.53</v>
      </c>
      <c r="AJ11" s="2">
        <v>82044.929999999993</v>
      </c>
      <c r="AK11" s="2"/>
      <c r="AL11" s="18">
        <f t="shared" si="5"/>
        <v>82044.929999999993</v>
      </c>
      <c r="AM11" s="54">
        <f t="shared" si="6"/>
        <v>22.472999999999999</v>
      </c>
      <c r="AN11" s="20">
        <f t="shared" si="7"/>
        <v>1230.6739499999999</v>
      </c>
    </row>
    <row r="12" spans="1:40" x14ac:dyDescent="0.2">
      <c r="A12" s="12" t="s">
        <v>80</v>
      </c>
      <c r="B12" s="5">
        <v>9522.7000000000007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18"/>
      <c r="J12" s="18"/>
      <c r="K12" s="2"/>
      <c r="L12" s="2"/>
      <c r="M12" s="2"/>
      <c r="N12" s="2"/>
      <c r="O12" s="18">
        <f t="shared" si="2"/>
        <v>0</v>
      </c>
      <c r="P12" s="20">
        <f t="shared" si="3"/>
        <v>0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8">
        <f t="shared" si="4"/>
        <v>0</v>
      </c>
      <c r="AJ12" s="2"/>
      <c r="AK12" s="2"/>
      <c r="AL12" s="18">
        <f t="shared" si="5"/>
        <v>0</v>
      </c>
      <c r="AM12" s="54">
        <f t="shared" si="6"/>
        <v>0</v>
      </c>
      <c r="AN12" s="20">
        <f t="shared" si="7"/>
        <v>0</v>
      </c>
    </row>
    <row r="13" spans="1:40" x14ac:dyDescent="0.2">
      <c r="A13" s="12" t="s">
        <v>80</v>
      </c>
      <c r="B13" s="5">
        <v>9522.7000000000007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18"/>
      <c r="J13" s="18"/>
      <c r="K13" s="2"/>
      <c r="L13" s="2"/>
      <c r="M13" s="2"/>
      <c r="N13" s="2"/>
      <c r="O13" s="18">
        <f t="shared" si="2"/>
        <v>0</v>
      </c>
      <c r="P13" s="20">
        <f t="shared" si="3"/>
        <v>0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8">
        <f t="shared" si="4"/>
        <v>0</v>
      </c>
      <c r="AJ13" s="2"/>
      <c r="AK13" s="2"/>
      <c r="AL13" s="18">
        <f t="shared" si="5"/>
        <v>0</v>
      </c>
      <c r="AM13" s="54">
        <f t="shared" si="6"/>
        <v>0</v>
      </c>
      <c r="AN13" s="20">
        <f t="shared" si="7"/>
        <v>0</v>
      </c>
    </row>
    <row r="14" spans="1:40" ht="13.5" thickBot="1" x14ac:dyDescent="0.25">
      <c r="A14" s="12" t="s">
        <v>80</v>
      </c>
      <c r="B14" s="5">
        <v>9522.7000000000007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0"/>
      <c r="J14" s="80"/>
      <c r="K14" s="8"/>
      <c r="L14" s="8"/>
      <c r="M14" s="8"/>
      <c r="N14" s="8"/>
      <c r="O14" s="18">
        <f t="shared" si="2"/>
        <v>0</v>
      </c>
      <c r="P14" s="20">
        <f t="shared" si="3"/>
        <v>0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18">
        <f t="shared" si="4"/>
        <v>0</v>
      </c>
      <c r="AJ14" s="8"/>
      <c r="AK14" s="8"/>
      <c r="AL14" s="18">
        <f t="shared" si="5"/>
        <v>0</v>
      </c>
      <c r="AM14" s="54">
        <f t="shared" si="6"/>
        <v>0</v>
      </c>
      <c r="AN14" s="20">
        <f t="shared" si="7"/>
        <v>0</v>
      </c>
    </row>
    <row r="15" spans="1:40" ht="13.5" thickBot="1" x14ac:dyDescent="0.25">
      <c r="A15" s="10" t="s">
        <v>25</v>
      </c>
      <c r="B15" s="9">
        <v>0</v>
      </c>
      <c r="C15" s="9">
        <f t="shared" ref="C15:G15" si="8">SUM(C3:C14)</f>
        <v>42051.25</v>
      </c>
      <c r="D15" s="9">
        <f t="shared" si="8"/>
        <v>0</v>
      </c>
      <c r="E15" s="19">
        <f t="shared" si="8"/>
        <v>42051.25</v>
      </c>
      <c r="F15" s="9">
        <f t="shared" si="8"/>
        <v>39303.279999999992</v>
      </c>
      <c r="G15" s="9">
        <f t="shared" si="8"/>
        <v>0</v>
      </c>
      <c r="H15" s="19">
        <f t="shared" ref="H15:AG15" si="9">SUM(H3:H14)</f>
        <v>39303.279999999992</v>
      </c>
      <c r="I15" s="19">
        <f>SUM(I9:I14)</f>
        <v>19058</v>
      </c>
      <c r="J15" s="19">
        <f>SUM(J9:J14)</f>
        <v>10440.859999999999</v>
      </c>
      <c r="K15" s="9">
        <f t="shared" si="9"/>
        <v>0</v>
      </c>
      <c r="L15" s="9">
        <f t="shared" si="9"/>
        <v>0</v>
      </c>
      <c r="M15" s="9">
        <f t="shared" si="9"/>
        <v>110345.85</v>
      </c>
      <c r="N15" s="9">
        <f t="shared" si="9"/>
        <v>108184.67000000001</v>
      </c>
      <c r="O15" s="19">
        <f t="shared" si="9"/>
        <v>1622.7700500000001</v>
      </c>
      <c r="P15" s="21">
        <f t="shared" si="9"/>
        <v>589.54920000000004</v>
      </c>
      <c r="Q15" s="10">
        <f t="shared" si="9"/>
        <v>22488.43</v>
      </c>
      <c r="R15" s="9">
        <f t="shared" si="9"/>
        <v>16444.93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54315.299999999996</v>
      </c>
      <c r="X15" s="9">
        <f t="shared" si="9"/>
        <v>36435.040000000001</v>
      </c>
      <c r="Y15" s="9">
        <f t="shared" si="9"/>
        <v>5505.75</v>
      </c>
      <c r="Z15" s="9">
        <f t="shared" si="9"/>
        <v>3725.96</v>
      </c>
      <c r="AA15" s="9">
        <f t="shared" si="9"/>
        <v>52981.3</v>
      </c>
      <c r="AB15" s="9">
        <f t="shared" si="9"/>
        <v>36175.31</v>
      </c>
      <c r="AC15" s="9">
        <f t="shared" si="9"/>
        <v>4288.16</v>
      </c>
      <c r="AD15" s="9">
        <f t="shared" si="9"/>
        <v>4213.43</v>
      </c>
      <c r="AE15" s="9">
        <f t="shared" si="9"/>
        <v>63653.81</v>
      </c>
      <c r="AF15" s="11">
        <f t="shared" si="9"/>
        <v>42349.56</v>
      </c>
      <c r="AG15" s="9">
        <f t="shared" si="9"/>
        <v>308163.82999999996</v>
      </c>
      <c r="AH15" s="9"/>
      <c r="AI15" s="19">
        <f>SUM(AI3:AI14)</f>
        <v>308163.82999999996</v>
      </c>
      <c r="AJ15" s="9">
        <f>SUM(AJ3:AJ14)</f>
        <v>217929.47</v>
      </c>
      <c r="AK15" s="9"/>
      <c r="AL15" s="19">
        <f>SUM(AL3:AL14)</f>
        <v>217929.47</v>
      </c>
      <c r="AM15" s="19">
        <f t="shared" ref="AM15" si="10">SUM(AM3:AM14)</f>
        <v>63.201449999999994</v>
      </c>
      <c r="AN15" s="21">
        <f t="shared" ref="AN15" si="11">SUM(AN3:AN14)</f>
        <v>3268.9420499999997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A17" sqref="A17:I20"/>
    </sheetView>
  </sheetViews>
  <sheetFormatPr defaultRowHeight="12.75" x14ac:dyDescent="0.2"/>
  <cols>
    <col min="1" max="1" width="4.5703125" customWidth="1"/>
    <col min="4" max="4" width="27.28515625" customWidth="1"/>
    <col min="5" max="5" width="38.42578125" customWidth="1"/>
    <col min="8" max="8" width="31.28515625" customWidth="1"/>
    <col min="9" max="9" width="11.28515625" customWidth="1"/>
  </cols>
  <sheetData>
    <row r="1" spans="1:9" ht="93.75" customHeight="1" thickBot="1" x14ac:dyDescent="0.4">
      <c r="A1" s="107" t="s">
        <v>131</v>
      </c>
      <c r="B1" s="107"/>
      <c r="C1" s="107"/>
      <c r="D1" s="107"/>
      <c r="E1" s="107"/>
      <c r="F1" s="107"/>
      <c r="G1" s="107"/>
      <c r="H1" s="107"/>
      <c r="I1" s="107"/>
    </row>
    <row r="2" spans="1:9" ht="16.5" customHeight="1" x14ac:dyDescent="0.2">
      <c r="A2" s="108" t="s">
        <v>14</v>
      </c>
      <c r="B2" s="110" t="s">
        <v>15</v>
      </c>
      <c r="C2" s="110" t="s">
        <v>16</v>
      </c>
      <c r="D2" s="110" t="s">
        <v>17</v>
      </c>
      <c r="E2" s="110" t="s">
        <v>18</v>
      </c>
      <c r="F2" s="110" t="s">
        <v>19</v>
      </c>
      <c r="G2" s="110" t="s">
        <v>20</v>
      </c>
      <c r="H2" s="110" t="s">
        <v>21</v>
      </c>
      <c r="I2" s="110" t="s">
        <v>22</v>
      </c>
    </row>
    <row r="3" spans="1:9" ht="29.25" customHeight="1" thickBot="1" x14ac:dyDescent="0.25">
      <c r="A3" s="109"/>
      <c r="B3" s="111"/>
      <c r="C3" s="111"/>
      <c r="D3" s="111"/>
      <c r="E3" s="111"/>
      <c r="F3" s="111"/>
      <c r="G3" s="111"/>
      <c r="H3" s="111"/>
      <c r="I3" s="111"/>
    </row>
    <row r="4" spans="1:9" x14ac:dyDescent="0.2">
      <c r="A4" s="73">
        <v>1</v>
      </c>
      <c r="B4" s="44">
        <v>2015</v>
      </c>
      <c r="C4" s="73" t="s">
        <v>97</v>
      </c>
      <c r="D4" s="2" t="s">
        <v>98</v>
      </c>
      <c r="E4" s="2" t="s">
        <v>99</v>
      </c>
      <c r="F4" s="2"/>
      <c r="G4" s="2"/>
      <c r="H4" s="63"/>
      <c r="I4" s="2">
        <v>1294.3900000000001</v>
      </c>
    </row>
    <row r="5" spans="1:9" x14ac:dyDescent="0.2">
      <c r="A5" s="73">
        <v>2</v>
      </c>
      <c r="B5" s="44">
        <v>2015</v>
      </c>
      <c r="C5" s="73" t="s">
        <v>97</v>
      </c>
      <c r="D5" s="2" t="s">
        <v>100</v>
      </c>
      <c r="E5" s="2" t="s">
        <v>101</v>
      </c>
      <c r="F5" s="2"/>
      <c r="G5" s="2"/>
      <c r="H5" s="63"/>
      <c r="I5" s="2">
        <v>445.19</v>
      </c>
    </row>
    <row r="6" spans="1:9" x14ac:dyDescent="0.2">
      <c r="A6" s="73">
        <v>3</v>
      </c>
      <c r="B6" s="44">
        <v>2015</v>
      </c>
      <c r="C6" s="73" t="s">
        <v>97</v>
      </c>
      <c r="D6" s="2"/>
      <c r="E6" s="2" t="s">
        <v>102</v>
      </c>
      <c r="F6" s="2"/>
      <c r="G6" s="2"/>
      <c r="H6" s="63" t="s">
        <v>103</v>
      </c>
      <c r="I6" s="2">
        <v>164183.07</v>
      </c>
    </row>
    <row r="7" spans="1:9" x14ac:dyDescent="0.2">
      <c r="A7" s="73">
        <v>4</v>
      </c>
      <c r="B7" s="44">
        <v>2015</v>
      </c>
      <c r="C7" s="73" t="s">
        <v>97</v>
      </c>
      <c r="D7" s="63"/>
      <c r="E7" s="2" t="s">
        <v>104</v>
      </c>
      <c r="F7" s="2"/>
      <c r="G7" s="2"/>
      <c r="H7" s="63"/>
      <c r="I7" s="2">
        <v>5658.11</v>
      </c>
    </row>
    <row r="8" spans="1:9" ht="25.5" x14ac:dyDescent="0.2">
      <c r="A8" s="73">
        <v>5</v>
      </c>
      <c r="B8" s="44">
        <v>2015</v>
      </c>
      <c r="C8" s="73" t="s">
        <v>97</v>
      </c>
      <c r="D8" s="63" t="s">
        <v>105</v>
      </c>
      <c r="E8" s="63" t="s">
        <v>106</v>
      </c>
      <c r="F8" s="2"/>
      <c r="G8" s="2"/>
      <c r="H8" s="63" t="s">
        <v>107</v>
      </c>
      <c r="I8" s="2">
        <v>2472.65</v>
      </c>
    </row>
    <row r="9" spans="1:9" ht="25.5" x14ac:dyDescent="0.2">
      <c r="A9" s="73">
        <v>6</v>
      </c>
      <c r="B9" s="44">
        <v>2015</v>
      </c>
      <c r="C9" s="73" t="s">
        <v>97</v>
      </c>
      <c r="D9" s="63"/>
      <c r="E9" s="63" t="s">
        <v>108</v>
      </c>
      <c r="F9" s="2"/>
      <c r="G9" s="2"/>
      <c r="H9" s="63" t="s">
        <v>109</v>
      </c>
      <c r="I9" s="2">
        <v>85769.85</v>
      </c>
    </row>
    <row r="10" spans="1:9" x14ac:dyDescent="0.2">
      <c r="A10" s="73">
        <v>7</v>
      </c>
      <c r="B10" s="44">
        <v>2015</v>
      </c>
      <c r="C10" s="73" t="s">
        <v>97</v>
      </c>
      <c r="D10" s="63"/>
      <c r="E10" s="63" t="s">
        <v>110</v>
      </c>
      <c r="F10" s="2"/>
      <c r="G10" s="2"/>
      <c r="H10" s="63" t="s">
        <v>111</v>
      </c>
      <c r="I10" s="2">
        <v>1764.85</v>
      </c>
    </row>
    <row r="11" spans="1:9" x14ac:dyDescent="0.2">
      <c r="A11" s="73">
        <v>8</v>
      </c>
      <c r="B11" s="44">
        <v>2015</v>
      </c>
      <c r="C11" s="73" t="s">
        <v>97</v>
      </c>
      <c r="D11" s="63"/>
      <c r="E11" s="2" t="s">
        <v>104</v>
      </c>
      <c r="F11" s="2"/>
      <c r="G11" s="2"/>
      <c r="H11" s="63"/>
      <c r="I11" s="2">
        <v>30304.19</v>
      </c>
    </row>
    <row r="12" spans="1:9" x14ac:dyDescent="0.2">
      <c r="A12" s="73">
        <v>9</v>
      </c>
      <c r="B12" s="44">
        <v>2015</v>
      </c>
      <c r="C12" s="73" t="s">
        <v>120</v>
      </c>
      <c r="D12" s="63" t="s">
        <v>121</v>
      </c>
      <c r="E12" s="2" t="s">
        <v>122</v>
      </c>
      <c r="F12" s="2"/>
      <c r="G12" s="2"/>
      <c r="H12" s="63" t="s">
        <v>123</v>
      </c>
      <c r="I12" s="2">
        <v>3542.88</v>
      </c>
    </row>
    <row r="13" spans="1:9" ht="38.25" x14ac:dyDescent="0.2">
      <c r="A13" s="73">
        <v>10</v>
      </c>
      <c r="B13" s="44">
        <v>2015</v>
      </c>
      <c r="C13" s="73" t="s">
        <v>120</v>
      </c>
      <c r="D13" s="63"/>
      <c r="E13" s="2" t="s">
        <v>122</v>
      </c>
      <c r="F13" s="2"/>
      <c r="G13" s="2"/>
      <c r="H13" s="63" t="s">
        <v>124</v>
      </c>
      <c r="I13" s="2">
        <v>4133.49</v>
      </c>
    </row>
    <row r="14" spans="1:9" x14ac:dyDescent="0.2">
      <c r="A14" s="73">
        <v>11</v>
      </c>
      <c r="B14" s="44">
        <v>2015</v>
      </c>
      <c r="C14" s="73" t="s">
        <v>120</v>
      </c>
      <c r="D14" s="63" t="s">
        <v>125</v>
      </c>
      <c r="E14" s="2" t="s">
        <v>99</v>
      </c>
      <c r="F14" s="2"/>
      <c r="G14" s="2"/>
      <c r="H14" s="63"/>
      <c r="I14" s="2">
        <v>767.23</v>
      </c>
    </row>
    <row r="15" spans="1:9" x14ac:dyDescent="0.2">
      <c r="A15" s="73">
        <v>12</v>
      </c>
      <c r="B15" s="44">
        <v>2015</v>
      </c>
      <c r="C15" s="73" t="s">
        <v>120</v>
      </c>
      <c r="D15" s="63"/>
      <c r="E15" s="2" t="s">
        <v>126</v>
      </c>
      <c r="F15" s="2"/>
      <c r="G15" s="2"/>
      <c r="H15" s="63" t="s">
        <v>127</v>
      </c>
      <c r="I15" s="2">
        <v>3649.11</v>
      </c>
    </row>
    <row r="16" spans="1:9" ht="25.5" x14ac:dyDescent="0.2">
      <c r="A16" s="73">
        <v>13</v>
      </c>
      <c r="B16" s="44">
        <v>2015</v>
      </c>
      <c r="C16" s="73" t="s">
        <v>120</v>
      </c>
      <c r="D16" s="63"/>
      <c r="E16" s="2" t="s">
        <v>128</v>
      </c>
      <c r="F16" s="2"/>
      <c r="G16" s="2"/>
      <c r="H16" s="63" t="s">
        <v>129</v>
      </c>
      <c r="I16" s="2">
        <v>1888.38</v>
      </c>
    </row>
    <row r="17" spans="1:9" x14ac:dyDescent="0.2">
      <c r="A17" s="73">
        <v>14</v>
      </c>
      <c r="B17" s="44">
        <v>2015</v>
      </c>
      <c r="C17" s="73" t="s">
        <v>134</v>
      </c>
      <c r="D17" s="63" t="s">
        <v>135</v>
      </c>
      <c r="E17" s="2" t="s">
        <v>99</v>
      </c>
      <c r="F17" s="2"/>
      <c r="G17" s="2"/>
      <c r="H17" s="63"/>
      <c r="I17" s="2">
        <v>898.38</v>
      </c>
    </row>
    <row r="18" spans="1:9" x14ac:dyDescent="0.2">
      <c r="A18" s="73">
        <v>15</v>
      </c>
      <c r="B18" s="44">
        <v>2015</v>
      </c>
      <c r="C18" s="73" t="s">
        <v>134</v>
      </c>
      <c r="D18" s="63" t="s">
        <v>136</v>
      </c>
      <c r="E18" s="2" t="s">
        <v>137</v>
      </c>
      <c r="F18" s="2"/>
      <c r="G18" s="2"/>
      <c r="H18" s="63" t="s">
        <v>138</v>
      </c>
      <c r="I18" s="2">
        <v>603.17999999999995</v>
      </c>
    </row>
    <row r="19" spans="1:9" x14ac:dyDescent="0.2">
      <c r="A19" s="73">
        <v>16</v>
      </c>
      <c r="B19" s="44">
        <v>2015</v>
      </c>
      <c r="C19" s="73" t="s">
        <v>134</v>
      </c>
      <c r="D19" s="63" t="s">
        <v>139</v>
      </c>
      <c r="E19" s="2" t="s">
        <v>140</v>
      </c>
      <c r="F19" s="2"/>
      <c r="G19" s="2"/>
      <c r="H19" s="63"/>
      <c r="I19" s="2">
        <v>54.35</v>
      </c>
    </row>
    <row r="20" spans="1:9" x14ac:dyDescent="0.2">
      <c r="A20" s="73">
        <v>17</v>
      </c>
      <c r="B20" s="44">
        <v>2015</v>
      </c>
      <c r="C20" s="73" t="s">
        <v>134</v>
      </c>
      <c r="D20" s="63" t="s">
        <v>141</v>
      </c>
      <c r="E20" s="2" t="s">
        <v>142</v>
      </c>
      <c r="F20" s="2"/>
      <c r="G20" s="2"/>
      <c r="H20" s="63"/>
      <c r="I20" s="2">
        <v>1497.71</v>
      </c>
    </row>
    <row r="21" spans="1:9" hidden="1" x14ac:dyDescent="0.2">
      <c r="A21" s="73"/>
      <c r="B21" s="85"/>
      <c r="C21" s="73"/>
      <c r="D21" s="63"/>
      <c r="E21" s="2"/>
      <c r="F21" s="2"/>
      <c r="G21" s="2"/>
      <c r="H21" s="63"/>
      <c r="I21" s="2"/>
    </row>
    <row r="22" spans="1:9" hidden="1" x14ac:dyDescent="0.2">
      <c r="A22" s="73"/>
      <c r="B22" s="85"/>
      <c r="C22" s="73"/>
      <c r="D22" s="63"/>
      <c r="E22" s="2"/>
      <c r="F22" s="2"/>
      <c r="G22" s="2"/>
      <c r="H22" s="63"/>
      <c r="I22" s="2"/>
    </row>
    <row r="23" spans="1:9" hidden="1" x14ac:dyDescent="0.2">
      <c r="A23" s="2"/>
      <c r="B23" s="72"/>
      <c r="C23" s="2"/>
      <c r="D23" s="63"/>
      <c r="E23" s="2"/>
      <c r="F23" s="2"/>
      <c r="G23" s="2"/>
      <c r="H23" s="63"/>
      <c r="I23" s="2"/>
    </row>
    <row r="24" spans="1:9" hidden="1" x14ac:dyDescent="0.2">
      <c r="A24" s="2"/>
      <c r="B24" s="2"/>
      <c r="C24" s="2"/>
      <c r="D24" s="2"/>
      <c r="E24" s="2"/>
      <c r="F24" s="2"/>
      <c r="G24" s="2"/>
      <c r="H24" s="2"/>
      <c r="I24" s="2"/>
    </row>
    <row r="25" spans="1:9" ht="13.5" thickBot="1" x14ac:dyDescent="0.25">
      <c r="A25" s="101" t="s">
        <v>24</v>
      </c>
      <c r="B25" s="102"/>
      <c r="C25" s="102"/>
      <c r="D25" s="102"/>
      <c r="E25" s="102"/>
      <c r="F25" s="102"/>
      <c r="G25" s="102"/>
      <c r="H25" s="103"/>
      <c r="I25" s="24">
        <f>'выборка 15 (3)'!AN15+'выборка 15 (3)'!AM15+'выборка 15 (3)'!P15+'выборка 15 (3)'!O15</f>
        <v>5404.4731499999998</v>
      </c>
    </row>
    <row r="26" spans="1:9" ht="15.75" thickBot="1" x14ac:dyDescent="0.3">
      <c r="A26" s="104" t="s">
        <v>25</v>
      </c>
      <c r="B26" s="105"/>
      <c r="C26" s="105"/>
      <c r="D26" s="105"/>
      <c r="E26" s="105"/>
      <c r="F26" s="105"/>
      <c r="G26" s="105"/>
      <c r="H26" s="106"/>
      <c r="I26" s="25">
        <f>SUM(I4:I25)</f>
        <v>314331.48314999993</v>
      </c>
    </row>
    <row r="29" spans="1:9" x14ac:dyDescent="0.2">
      <c r="A29" s="75" t="s">
        <v>92</v>
      </c>
      <c r="B29" s="75"/>
      <c r="C29" s="75"/>
      <c r="D29" s="75"/>
      <c r="E29" s="75"/>
    </row>
  </sheetData>
  <mergeCells count="12">
    <mergeCell ref="A25:H25"/>
    <mergeCell ref="A26:H26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scale="9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opLeftCell="N1" workbookViewId="0">
      <selection activeCell="C9" sqref="C9:AN12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10" width="12.85546875" customWidth="1"/>
    <col min="11" max="11" width="12.42578125" customWidth="1"/>
    <col min="12" max="12" width="11.85546875" customWidth="1"/>
    <col min="13" max="13" width="12.85546875" customWidth="1"/>
    <col min="14" max="14" width="11.140625" customWidth="1"/>
    <col min="15" max="15" width="10.28515625" customWidth="1"/>
    <col min="16" max="16" width="9.28515625" customWidth="1"/>
    <col min="17" max="17" width="12.140625" customWidth="1"/>
    <col min="18" max="18" width="11.85546875" customWidth="1"/>
    <col min="19" max="19" width="10.140625" customWidth="1"/>
    <col min="20" max="20" width="10.5703125" customWidth="1"/>
  </cols>
  <sheetData>
    <row r="1" spans="1:40" ht="13.5" thickBot="1" x14ac:dyDescent="0.25"/>
    <row r="2" spans="1:40" ht="55.5" customHeight="1" thickBot="1" x14ac:dyDescent="0.25">
      <c r="A2" s="13" t="s">
        <v>26</v>
      </c>
      <c r="B2" s="14" t="s">
        <v>27</v>
      </c>
      <c r="C2" s="14" t="s">
        <v>28</v>
      </c>
      <c r="D2" s="14" t="s">
        <v>30</v>
      </c>
      <c r="E2" s="17" t="s">
        <v>37</v>
      </c>
      <c r="F2" s="14" t="s">
        <v>29</v>
      </c>
      <c r="G2" s="14" t="s">
        <v>31</v>
      </c>
      <c r="H2" s="17" t="s">
        <v>38</v>
      </c>
      <c r="I2" s="17" t="s">
        <v>116</v>
      </c>
      <c r="J2" s="17" t="s">
        <v>117</v>
      </c>
      <c r="K2" s="14" t="s">
        <v>32</v>
      </c>
      <c r="L2" s="14" t="s">
        <v>33</v>
      </c>
      <c r="M2" s="14" t="s">
        <v>55</v>
      </c>
      <c r="N2" s="14" t="s">
        <v>34</v>
      </c>
      <c r="O2" s="17" t="s">
        <v>35</v>
      </c>
      <c r="P2" s="17" t="s">
        <v>36</v>
      </c>
      <c r="Q2" s="15" t="s">
        <v>39</v>
      </c>
      <c r="R2" s="15" t="s">
        <v>40</v>
      </c>
      <c r="S2" s="15" t="s">
        <v>41</v>
      </c>
      <c r="T2" s="15" t="s">
        <v>42</v>
      </c>
      <c r="U2" s="15" t="s">
        <v>43</v>
      </c>
      <c r="V2" s="15" t="s">
        <v>44</v>
      </c>
      <c r="W2" s="15" t="s">
        <v>45</v>
      </c>
      <c r="X2" s="15" t="s">
        <v>46</v>
      </c>
      <c r="Y2" s="15" t="s">
        <v>47</v>
      </c>
      <c r="Z2" s="15" t="s">
        <v>48</v>
      </c>
      <c r="AA2" s="15" t="s">
        <v>49</v>
      </c>
      <c r="AB2" s="15" t="s">
        <v>50</v>
      </c>
      <c r="AC2" s="15" t="s">
        <v>51</v>
      </c>
      <c r="AD2" s="15" t="s">
        <v>52</v>
      </c>
      <c r="AE2" s="15" t="s">
        <v>53</v>
      </c>
      <c r="AF2" s="16" t="s">
        <v>54</v>
      </c>
      <c r="AG2" s="14" t="s">
        <v>56</v>
      </c>
      <c r="AH2" s="14" t="s">
        <v>30</v>
      </c>
      <c r="AI2" s="17" t="s">
        <v>37</v>
      </c>
      <c r="AJ2" s="14" t="s">
        <v>57</v>
      </c>
      <c r="AK2" s="14" t="s">
        <v>31</v>
      </c>
      <c r="AL2" s="17" t="s">
        <v>38</v>
      </c>
      <c r="AM2" s="17" t="s">
        <v>77</v>
      </c>
      <c r="AN2" s="17" t="s">
        <v>36</v>
      </c>
    </row>
    <row r="3" spans="1:40" x14ac:dyDescent="0.2">
      <c r="A3" s="12" t="s">
        <v>80</v>
      </c>
      <c r="B3" s="5">
        <v>9522.7000000000007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18"/>
      <c r="J3" s="18"/>
      <c r="K3" s="5">
        <v>0</v>
      </c>
      <c r="L3" s="5">
        <v>0</v>
      </c>
      <c r="M3" s="5">
        <v>0</v>
      </c>
      <c r="N3" s="5">
        <v>0</v>
      </c>
      <c r="O3" s="18">
        <f>(K3+L3+N3)*1.5%</f>
        <v>0</v>
      </c>
      <c r="P3" s="20">
        <f>H3*1.5%</f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18">
        <f>AG3+AH3</f>
        <v>0</v>
      </c>
      <c r="AJ3" s="5">
        <v>0</v>
      </c>
      <c r="AK3" s="5">
        <v>0</v>
      </c>
      <c r="AL3" s="18">
        <f>AJ3+AK3</f>
        <v>0</v>
      </c>
      <c r="AM3" s="54">
        <f>AD3*1.5%</f>
        <v>0</v>
      </c>
      <c r="AN3" s="20">
        <f>AL3*1.5%</f>
        <v>0</v>
      </c>
    </row>
    <row r="4" spans="1:40" x14ac:dyDescent="0.2">
      <c r="A4" s="12" t="s">
        <v>80</v>
      </c>
      <c r="B4" s="5">
        <v>9522.7000000000007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18"/>
      <c r="J4" s="18"/>
      <c r="K4" s="5">
        <v>0</v>
      </c>
      <c r="L4" s="5">
        <v>0</v>
      </c>
      <c r="M4" s="5">
        <v>0</v>
      </c>
      <c r="N4" s="5">
        <v>0</v>
      </c>
      <c r="O4" s="18">
        <f t="shared" ref="O4:O14" si="2">(K4+L4+N4)*1.5%</f>
        <v>0</v>
      </c>
      <c r="P4" s="20">
        <f t="shared" ref="P4:P14" si="3">H4*1.5%</f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18">
        <f t="shared" ref="AI4:AI14" si="4">AG4+AH4</f>
        <v>0</v>
      </c>
      <c r="AJ4" s="5">
        <v>0</v>
      </c>
      <c r="AK4" s="5">
        <v>0</v>
      </c>
      <c r="AL4" s="18">
        <f t="shared" ref="AL4:AL14" si="5">AJ4+AK4</f>
        <v>0</v>
      </c>
      <c r="AM4" s="54">
        <f t="shared" ref="AM4:AM14" si="6">AD4*1.5%</f>
        <v>0</v>
      </c>
      <c r="AN4" s="20">
        <f t="shared" ref="AN4:AN14" si="7">AL4*1.5%</f>
        <v>0</v>
      </c>
    </row>
    <row r="5" spans="1:40" x14ac:dyDescent="0.2">
      <c r="A5" s="12" t="s">
        <v>80</v>
      </c>
      <c r="B5" s="5">
        <v>9522.7000000000007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18"/>
      <c r="J5" s="18"/>
      <c r="K5" s="5">
        <v>0</v>
      </c>
      <c r="L5" s="5">
        <v>0</v>
      </c>
      <c r="M5" s="5">
        <v>0</v>
      </c>
      <c r="N5" s="5">
        <v>0</v>
      </c>
      <c r="O5" s="18">
        <f t="shared" si="2"/>
        <v>0</v>
      </c>
      <c r="P5" s="20">
        <f t="shared" si="3"/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18">
        <f t="shared" si="4"/>
        <v>0</v>
      </c>
      <c r="AJ5" s="5">
        <v>0</v>
      </c>
      <c r="AK5" s="5">
        <v>0</v>
      </c>
      <c r="AL5" s="18">
        <f t="shared" si="5"/>
        <v>0</v>
      </c>
      <c r="AM5" s="54">
        <f t="shared" si="6"/>
        <v>0</v>
      </c>
      <c r="AN5" s="20">
        <f t="shared" si="7"/>
        <v>0</v>
      </c>
    </row>
    <row r="6" spans="1:40" x14ac:dyDescent="0.2">
      <c r="A6" s="12" t="s">
        <v>80</v>
      </c>
      <c r="B6" s="5">
        <v>9522.7000000000007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18"/>
      <c r="J6" s="18"/>
      <c r="K6" s="5">
        <v>0</v>
      </c>
      <c r="L6" s="5">
        <v>0</v>
      </c>
      <c r="M6" s="5">
        <v>0</v>
      </c>
      <c r="N6" s="5">
        <v>0</v>
      </c>
      <c r="O6" s="18">
        <f t="shared" si="2"/>
        <v>0</v>
      </c>
      <c r="P6" s="20">
        <f t="shared" si="3"/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18">
        <f t="shared" si="4"/>
        <v>0</v>
      </c>
      <c r="AJ6" s="5">
        <v>0</v>
      </c>
      <c r="AK6" s="5">
        <v>0</v>
      </c>
      <c r="AL6" s="18">
        <f t="shared" si="5"/>
        <v>0</v>
      </c>
      <c r="AM6" s="54">
        <f t="shared" si="6"/>
        <v>0</v>
      </c>
      <c r="AN6" s="20">
        <f t="shared" si="7"/>
        <v>0</v>
      </c>
    </row>
    <row r="7" spans="1:40" x14ac:dyDescent="0.2">
      <c r="A7" s="12" t="s">
        <v>80</v>
      </c>
      <c r="B7" s="5">
        <v>9522.7000000000007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18"/>
      <c r="J7" s="18"/>
      <c r="K7" s="5">
        <v>0</v>
      </c>
      <c r="L7" s="5">
        <v>0</v>
      </c>
      <c r="M7" s="5">
        <v>0</v>
      </c>
      <c r="N7" s="5">
        <v>0</v>
      </c>
      <c r="O7" s="18">
        <f t="shared" si="2"/>
        <v>0</v>
      </c>
      <c r="P7" s="20">
        <f t="shared" si="3"/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18">
        <f t="shared" si="4"/>
        <v>0</v>
      </c>
      <c r="AJ7" s="5">
        <v>0</v>
      </c>
      <c r="AK7" s="5">
        <v>0</v>
      </c>
      <c r="AL7" s="18">
        <f t="shared" si="5"/>
        <v>0</v>
      </c>
      <c r="AM7" s="54">
        <f t="shared" si="6"/>
        <v>0</v>
      </c>
      <c r="AN7" s="20">
        <f t="shared" si="7"/>
        <v>0</v>
      </c>
    </row>
    <row r="8" spans="1:40" x14ac:dyDescent="0.2">
      <c r="A8" s="12" t="s">
        <v>80</v>
      </c>
      <c r="B8" s="5">
        <v>9522.7000000000007</v>
      </c>
      <c r="C8" s="2">
        <v>40402.97</v>
      </c>
      <c r="D8" s="2">
        <v>0</v>
      </c>
      <c r="E8" s="18">
        <f t="shared" si="0"/>
        <v>40402.97</v>
      </c>
      <c r="F8" s="2">
        <v>2469.31</v>
      </c>
      <c r="G8" s="2">
        <v>0</v>
      </c>
      <c r="H8" s="18">
        <f t="shared" si="1"/>
        <v>2469.31</v>
      </c>
      <c r="I8" s="18"/>
      <c r="J8" s="18"/>
      <c r="K8" s="2">
        <v>0</v>
      </c>
      <c r="L8" s="2">
        <v>0</v>
      </c>
      <c r="M8" s="2">
        <v>36019.65</v>
      </c>
      <c r="N8" s="2">
        <v>2210.44</v>
      </c>
      <c r="O8" s="18">
        <f t="shared" si="2"/>
        <v>33.156599999999997</v>
      </c>
      <c r="P8" s="20">
        <f t="shared" si="3"/>
        <v>37.039649999999995</v>
      </c>
      <c r="Q8" s="2">
        <v>5336.23</v>
      </c>
      <c r="R8" s="2">
        <v>326.16000000000003</v>
      </c>
      <c r="S8" s="2">
        <v>0</v>
      </c>
      <c r="T8" s="2">
        <v>0</v>
      </c>
      <c r="U8" s="2">
        <v>0</v>
      </c>
      <c r="V8" s="2">
        <v>0</v>
      </c>
      <c r="W8" s="2">
        <v>18105.099999999999</v>
      </c>
      <c r="X8" s="2">
        <v>1106.56</v>
      </c>
      <c r="Y8" s="2">
        <v>1771.75</v>
      </c>
      <c r="Z8" s="2">
        <v>228.16</v>
      </c>
      <c r="AA8" s="2">
        <v>17152.2</v>
      </c>
      <c r="AB8" s="2">
        <v>1048.3</v>
      </c>
      <c r="AC8" s="2">
        <v>1048.22</v>
      </c>
      <c r="AD8" s="2">
        <v>64.040000000000006</v>
      </c>
      <c r="AE8" s="2">
        <v>20392.07</v>
      </c>
      <c r="AF8" s="2">
        <v>1246.3</v>
      </c>
      <c r="AG8" s="2">
        <v>45834.52</v>
      </c>
      <c r="AH8" s="2">
        <v>0</v>
      </c>
      <c r="AI8" s="18">
        <f t="shared" si="4"/>
        <v>45834.52</v>
      </c>
      <c r="AJ8" s="2">
        <f>2801.29-2083.49</f>
        <v>717.80000000000018</v>
      </c>
      <c r="AK8" s="2">
        <v>0</v>
      </c>
      <c r="AL8" s="18">
        <f t="shared" si="5"/>
        <v>717.80000000000018</v>
      </c>
      <c r="AM8" s="54">
        <f t="shared" si="6"/>
        <v>0.96060000000000001</v>
      </c>
      <c r="AN8" s="20">
        <f t="shared" si="7"/>
        <v>10.767000000000003</v>
      </c>
    </row>
    <row r="9" spans="1:40" x14ac:dyDescent="0.2">
      <c r="A9" s="12" t="s">
        <v>80</v>
      </c>
      <c r="B9" s="5">
        <v>9522.7000000000007</v>
      </c>
      <c r="C9" s="2"/>
      <c r="D9" s="2"/>
      <c r="E9" s="18"/>
      <c r="F9" s="2"/>
      <c r="G9" s="2"/>
      <c r="H9" s="18"/>
      <c r="I9" s="18"/>
      <c r="J9" s="18"/>
      <c r="K9" s="2"/>
      <c r="L9" s="2"/>
      <c r="M9" s="2"/>
      <c r="N9" s="2"/>
      <c r="O9" s="18"/>
      <c r="P9" s="20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8"/>
      <c r="AJ9" s="2"/>
      <c r="AK9" s="2"/>
      <c r="AL9" s="18"/>
      <c r="AM9" s="54"/>
      <c r="AN9" s="20"/>
    </row>
    <row r="10" spans="1:40" x14ac:dyDescent="0.2">
      <c r="A10" s="12" t="s">
        <v>80</v>
      </c>
      <c r="B10" s="5">
        <v>9522.7000000000007</v>
      </c>
      <c r="C10" s="2"/>
      <c r="D10" s="2"/>
      <c r="E10" s="18"/>
      <c r="F10" s="2"/>
      <c r="G10" s="2"/>
      <c r="H10" s="18"/>
      <c r="I10" s="18"/>
      <c r="J10" s="18"/>
      <c r="K10" s="2"/>
      <c r="L10" s="2"/>
      <c r="M10" s="2"/>
      <c r="N10" s="2"/>
      <c r="O10" s="18"/>
      <c r="P10" s="2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8"/>
      <c r="AJ10" s="2"/>
      <c r="AK10" s="2"/>
      <c r="AL10" s="18"/>
      <c r="AM10" s="54"/>
      <c r="AN10" s="20"/>
    </row>
    <row r="11" spans="1:40" x14ac:dyDescent="0.2">
      <c r="A11" s="12" t="s">
        <v>80</v>
      </c>
      <c r="B11" s="5">
        <v>9522.7000000000007</v>
      </c>
      <c r="C11" s="2"/>
      <c r="D11" s="2"/>
      <c r="E11" s="18"/>
      <c r="F11" s="2"/>
      <c r="G11" s="2"/>
      <c r="H11" s="18"/>
      <c r="I11" s="18"/>
      <c r="J11" s="18"/>
      <c r="K11" s="2"/>
      <c r="L11" s="2"/>
      <c r="M11" s="2"/>
      <c r="N11" s="2"/>
      <c r="O11" s="18"/>
      <c r="P11" s="20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18"/>
      <c r="AJ11" s="2"/>
      <c r="AK11" s="2"/>
      <c r="AL11" s="18"/>
      <c r="AM11" s="54"/>
      <c r="AN11" s="20"/>
    </row>
    <row r="12" spans="1:40" x14ac:dyDescent="0.2">
      <c r="A12" s="12" t="s">
        <v>80</v>
      </c>
      <c r="B12" s="5">
        <v>9522.7000000000007</v>
      </c>
      <c r="C12" s="2"/>
      <c r="D12" s="2"/>
      <c r="E12" s="18"/>
      <c r="F12" s="2"/>
      <c r="G12" s="2"/>
      <c r="H12" s="18"/>
      <c r="I12" s="18"/>
      <c r="J12" s="18"/>
      <c r="K12" s="2"/>
      <c r="L12" s="2"/>
      <c r="M12" s="2"/>
      <c r="N12" s="2"/>
      <c r="O12" s="18"/>
      <c r="P12" s="20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8"/>
      <c r="AJ12" s="2"/>
      <c r="AK12" s="2"/>
      <c r="AL12" s="18"/>
      <c r="AM12" s="54"/>
      <c r="AN12" s="20"/>
    </row>
    <row r="13" spans="1:40" x14ac:dyDescent="0.2">
      <c r="A13" s="12" t="s">
        <v>80</v>
      </c>
      <c r="B13" s="5">
        <v>9522.7000000000007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18"/>
      <c r="J13" s="18"/>
      <c r="K13" s="2"/>
      <c r="L13" s="2"/>
      <c r="M13" s="2"/>
      <c r="N13" s="2"/>
      <c r="O13" s="18">
        <f t="shared" si="2"/>
        <v>0</v>
      </c>
      <c r="P13" s="20">
        <f t="shared" si="3"/>
        <v>0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8">
        <f t="shared" si="4"/>
        <v>0</v>
      </c>
      <c r="AJ13" s="2"/>
      <c r="AK13" s="2"/>
      <c r="AL13" s="18">
        <f t="shared" si="5"/>
        <v>0</v>
      </c>
      <c r="AM13" s="54">
        <f t="shared" si="6"/>
        <v>0</v>
      </c>
      <c r="AN13" s="20">
        <f t="shared" si="7"/>
        <v>0</v>
      </c>
    </row>
    <row r="14" spans="1:40" ht="13.5" thickBot="1" x14ac:dyDescent="0.25">
      <c r="A14" s="12" t="s">
        <v>80</v>
      </c>
      <c r="B14" s="5">
        <v>9522.7000000000007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0"/>
      <c r="J14" s="80"/>
      <c r="K14" s="8"/>
      <c r="L14" s="8"/>
      <c r="M14" s="8"/>
      <c r="N14" s="8"/>
      <c r="O14" s="18">
        <f t="shared" si="2"/>
        <v>0</v>
      </c>
      <c r="P14" s="20">
        <f t="shared" si="3"/>
        <v>0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18">
        <f t="shared" si="4"/>
        <v>0</v>
      </c>
      <c r="AJ14" s="8"/>
      <c r="AK14" s="8"/>
      <c r="AL14" s="18">
        <f t="shared" si="5"/>
        <v>0</v>
      </c>
      <c r="AM14" s="54">
        <f t="shared" si="6"/>
        <v>0</v>
      </c>
      <c r="AN14" s="20">
        <f t="shared" si="7"/>
        <v>0</v>
      </c>
    </row>
    <row r="15" spans="1:40" ht="13.5" thickBot="1" x14ac:dyDescent="0.25">
      <c r="A15" s="10" t="s">
        <v>25</v>
      </c>
      <c r="B15" s="9">
        <v>0</v>
      </c>
      <c r="C15" s="9">
        <f t="shared" ref="C15:G15" si="8">SUM(C3:C14)</f>
        <v>40402.97</v>
      </c>
      <c r="D15" s="9">
        <f t="shared" si="8"/>
        <v>0</v>
      </c>
      <c r="E15" s="19">
        <f t="shared" si="8"/>
        <v>40402.97</v>
      </c>
      <c r="F15" s="9">
        <f t="shared" si="8"/>
        <v>2469.31</v>
      </c>
      <c r="G15" s="9">
        <f t="shared" si="8"/>
        <v>0</v>
      </c>
      <c r="H15" s="19">
        <f t="shared" ref="H15:AG15" si="9">SUM(H3:H14)</f>
        <v>2469.31</v>
      </c>
      <c r="I15" s="19">
        <f>SUM(I9:I14)</f>
        <v>0</v>
      </c>
      <c r="J15" s="19">
        <f>SUM(J9:J14)</f>
        <v>0</v>
      </c>
      <c r="K15" s="9">
        <f t="shared" si="9"/>
        <v>0</v>
      </c>
      <c r="L15" s="9">
        <f t="shared" si="9"/>
        <v>0</v>
      </c>
      <c r="M15" s="9">
        <f t="shared" si="9"/>
        <v>36019.65</v>
      </c>
      <c r="N15" s="9">
        <f t="shared" si="9"/>
        <v>2210.44</v>
      </c>
      <c r="O15" s="19">
        <f t="shared" si="9"/>
        <v>33.156599999999997</v>
      </c>
      <c r="P15" s="21">
        <f t="shared" si="9"/>
        <v>37.039649999999995</v>
      </c>
      <c r="Q15" s="10">
        <f t="shared" si="9"/>
        <v>5336.23</v>
      </c>
      <c r="R15" s="9">
        <f t="shared" si="9"/>
        <v>326.16000000000003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18105.099999999999</v>
      </c>
      <c r="X15" s="9">
        <f t="shared" si="9"/>
        <v>1106.56</v>
      </c>
      <c r="Y15" s="9">
        <f t="shared" si="9"/>
        <v>1771.75</v>
      </c>
      <c r="Z15" s="9">
        <f t="shared" si="9"/>
        <v>228.16</v>
      </c>
      <c r="AA15" s="9">
        <f t="shared" si="9"/>
        <v>17152.2</v>
      </c>
      <c r="AB15" s="9">
        <f t="shared" si="9"/>
        <v>1048.3</v>
      </c>
      <c r="AC15" s="9">
        <f t="shared" si="9"/>
        <v>1048.22</v>
      </c>
      <c r="AD15" s="9">
        <f t="shared" si="9"/>
        <v>64.040000000000006</v>
      </c>
      <c r="AE15" s="9">
        <f t="shared" si="9"/>
        <v>20392.07</v>
      </c>
      <c r="AF15" s="11">
        <f t="shared" si="9"/>
        <v>1246.3</v>
      </c>
      <c r="AG15" s="9">
        <f t="shared" si="9"/>
        <v>45834.52</v>
      </c>
      <c r="AH15" s="9"/>
      <c r="AI15" s="19">
        <f>SUM(AI3:AI14)</f>
        <v>45834.52</v>
      </c>
      <c r="AJ15" s="9">
        <f>SUM(AJ3:AJ14)</f>
        <v>717.80000000000018</v>
      </c>
      <c r="AK15" s="9"/>
      <c r="AL15" s="19">
        <f>SUM(AL3:AL14)</f>
        <v>717.80000000000018</v>
      </c>
      <c r="AM15" s="19">
        <f t="shared" ref="AM15:AN15" si="10">SUM(AM3:AM14)</f>
        <v>0.96060000000000001</v>
      </c>
      <c r="AN15" s="21">
        <f t="shared" si="10"/>
        <v>10.767000000000003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opLeftCell="N1" workbookViewId="0">
      <selection activeCell="AJ12" sqref="AJ12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10" width="12.85546875" customWidth="1"/>
    <col min="11" max="11" width="12.42578125" customWidth="1"/>
    <col min="12" max="12" width="11.85546875" customWidth="1"/>
    <col min="13" max="13" width="12.85546875" customWidth="1"/>
    <col min="14" max="14" width="11.140625" customWidth="1"/>
    <col min="15" max="15" width="10.28515625" customWidth="1"/>
    <col min="16" max="16" width="9.28515625" customWidth="1"/>
    <col min="17" max="17" width="12.140625" customWidth="1"/>
    <col min="18" max="18" width="11.85546875" customWidth="1"/>
    <col min="19" max="19" width="10.140625" customWidth="1"/>
    <col min="20" max="20" width="10.5703125" customWidth="1"/>
  </cols>
  <sheetData>
    <row r="1" spans="1:40" ht="13.5" thickBot="1" x14ac:dyDescent="0.25"/>
    <row r="2" spans="1:40" ht="55.5" customHeight="1" thickBot="1" x14ac:dyDescent="0.25">
      <c r="A2" s="13" t="s">
        <v>26</v>
      </c>
      <c r="B2" s="14" t="s">
        <v>27</v>
      </c>
      <c r="C2" s="14" t="s">
        <v>28</v>
      </c>
      <c r="D2" s="14" t="s">
        <v>30</v>
      </c>
      <c r="E2" s="17" t="s">
        <v>37</v>
      </c>
      <c r="F2" s="14" t="s">
        <v>29</v>
      </c>
      <c r="G2" s="14" t="s">
        <v>31</v>
      </c>
      <c r="H2" s="17" t="s">
        <v>38</v>
      </c>
      <c r="I2" s="17" t="s">
        <v>116</v>
      </c>
      <c r="J2" s="17" t="s">
        <v>117</v>
      </c>
      <c r="K2" s="14" t="s">
        <v>32</v>
      </c>
      <c r="L2" s="14" t="s">
        <v>33</v>
      </c>
      <c r="M2" s="14" t="s">
        <v>55</v>
      </c>
      <c r="N2" s="14" t="s">
        <v>34</v>
      </c>
      <c r="O2" s="17" t="s">
        <v>35</v>
      </c>
      <c r="P2" s="17" t="s">
        <v>36</v>
      </c>
      <c r="Q2" s="15" t="s">
        <v>39</v>
      </c>
      <c r="R2" s="15" t="s">
        <v>40</v>
      </c>
      <c r="S2" s="15" t="s">
        <v>41</v>
      </c>
      <c r="T2" s="15" t="s">
        <v>42</v>
      </c>
      <c r="U2" s="15" t="s">
        <v>43</v>
      </c>
      <c r="V2" s="15" t="s">
        <v>44</v>
      </c>
      <c r="W2" s="15" t="s">
        <v>45</v>
      </c>
      <c r="X2" s="15" t="s">
        <v>46</v>
      </c>
      <c r="Y2" s="15" t="s">
        <v>47</v>
      </c>
      <c r="Z2" s="15" t="s">
        <v>48</v>
      </c>
      <c r="AA2" s="15" t="s">
        <v>49</v>
      </c>
      <c r="AB2" s="15" t="s">
        <v>50</v>
      </c>
      <c r="AC2" s="15" t="s">
        <v>51</v>
      </c>
      <c r="AD2" s="15" t="s">
        <v>52</v>
      </c>
      <c r="AE2" s="15" t="s">
        <v>53</v>
      </c>
      <c r="AF2" s="16" t="s">
        <v>54</v>
      </c>
      <c r="AG2" s="14" t="s">
        <v>56</v>
      </c>
      <c r="AH2" s="14" t="s">
        <v>30</v>
      </c>
      <c r="AI2" s="17" t="s">
        <v>37</v>
      </c>
      <c r="AJ2" s="14" t="s">
        <v>57</v>
      </c>
      <c r="AK2" s="14" t="s">
        <v>31</v>
      </c>
      <c r="AL2" s="17" t="s">
        <v>38</v>
      </c>
      <c r="AM2" s="17" t="s">
        <v>77</v>
      </c>
      <c r="AN2" s="17" t="s">
        <v>36</v>
      </c>
    </row>
    <row r="3" spans="1:40" x14ac:dyDescent="0.2">
      <c r="A3" s="12" t="s">
        <v>80</v>
      </c>
      <c r="B3" s="5">
        <v>9522.7000000000007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18"/>
      <c r="J3" s="18"/>
      <c r="K3" s="5">
        <v>0</v>
      </c>
      <c r="L3" s="5">
        <v>0</v>
      </c>
      <c r="M3" s="5">
        <v>0</v>
      </c>
      <c r="N3" s="5">
        <v>0</v>
      </c>
      <c r="O3" s="18">
        <f>(K3+L3+N3)*1.5%</f>
        <v>0</v>
      </c>
      <c r="P3" s="20">
        <f>H3*1.5%</f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18">
        <f>AG3+AH3</f>
        <v>0</v>
      </c>
      <c r="AJ3" s="5">
        <v>0</v>
      </c>
      <c r="AK3" s="5">
        <v>0</v>
      </c>
      <c r="AL3" s="18">
        <f>AJ3+AK3</f>
        <v>0</v>
      </c>
      <c r="AM3" s="54">
        <f>AD3*1.5%</f>
        <v>0</v>
      </c>
      <c r="AN3" s="20">
        <f>AL3*1.5%</f>
        <v>0</v>
      </c>
    </row>
    <row r="4" spans="1:40" x14ac:dyDescent="0.2">
      <c r="A4" s="12" t="s">
        <v>80</v>
      </c>
      <c r="B4" s="5">
        <v>9522.7000000000007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18"/>
      <c r="J4" s="18"/>
      <c r="K4" s="5">
        <v>0</v>
      </c>
      <c r="L4" s="5">
        <v>0</v>
      </c>
      <c r="M4" s="5">
        <v>0</v>
      </c>
      <c r="N4" s="5">
        <v>0</v>
      </c>
      <c r="O4" s="18">
        <f t="shared" ref="O4:O14" si="2">(K4+L4+N4)*1.5%</f>
        <v>0</v>
      </c>
      <c r="P4" s="20">
        <f t="shared" ref="P4:P14" si="3">H4*1.5%</f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18">
        <f t="shared" ref="AI4:AI14" si="4">AG4+AH4</f>
        <v>0</v>
      </c>
      <c r="AJ4" s="5">
        <v>0</v>
      </c>
      <c r="AK4" s="5">
        <v>0</v>
      </c>
      <c r="AL4" s="18">
        <f t="shared" ref="AL4:AL14" si="5">AJ4+AK4</f>
        <v>0</v>
      </c>
      <c r="AM4" s="54">
        <f t="shared" ref="AM4:AM14" si="6">AD4*1.5%</f>
        <v>0</v>
      </c>
      <c r="AN4" s="20">
        <f t="shared" ref="AN4:AN14" si="7">AL4*1.5%</f>
        <v>0</v>
      </c>
    </row>
    <row r="5" spans="1:40" x14ac:dyDescent="0.2">
      <c r="A5" s="12" t="s">
        <v>80</v>
      </c>
      <c r="B5" s="5">
        <v>9522.7000000000007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18"/>
      <c r="J5" s="18"/>
      <c r="K5" s="5">
        <v>0</v>
      </c>
      <c r="L5" s="5">
        <v>0</v>
      </c>
      <c r="M5" s="5">
        <v>0</v>
      </c>
      <c r="N5" s="5">
        <v>0</v>
      </c>
      <c r="O5" s="18">
        <f t="shared" si="2"/>
        <v>0</v>
      </c>
      <c r="P5" s="20">
        <f t="shared" si="3"/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18">
        <f t="shared" si="4"/>
        <v>0</v>
      </c>
      <c r="AJ5" s="5">
        <v>0</v>
      </c>
      <c r="AK5" s="5">
        <v>0</v>
      </c>
      <c r="AL5" s="18">
        <f t="shared" si="5"/>
        <v>0</v>
      </c>
      <c r="AM5" s="54">
        <f t="shared" si="6"/>
        <v>0</v>
      </c>
      <c r="AN5" s="20">
        <f t="shared" si="7"/>
        <v>0</v>
      </c>
    </row>
    <row r="6" spans="1:40" x14ac:dyDescent="0.2">
      <c r="A6" s="12" t="s">
        <v>80</v>
      </c>
      <c r="B6" s="5">
        <v>9522.7000000000007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18"/>
      <c r="J6" s="18"/>
      <c r="K6" s="5">
        <v>0</v>
      </c>
      <c r="L6" s="5">
        <v>0</v>
      </c>
      <c r="M6" s="5">
        <v>0</v>
      </c>
      <c r="N6" s="5">
        <v>0</v>
      </c>
      <c r="O6" s="18">
        <f t="shared" si="2"/>
        <v>0</v>
      </c>
      <c r="P6" s="20">
        <f t="shared" si="3"/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18">
        <f t="shared" si="4"/>
        <v>0</v>
      </c>
      <c r="AJ6" s="5">
        <v>0</v>
      </c>
      <c r="AK6" s="5">
        <v>0</v>
      </c>
      <c r="AL6" s="18">
        <f t="shared" si="5"/>
        <v>0</v>
      </c>
      <c r="AM6" s="54">
        <f t="shared" si="6"/>
        <v>0</v>
      </c>
      <c r="AN6" s="20">
        <f t="shared" si="7"/>
        <v>0</v>
      </c>
    </row>
    <row r="7" spans="1:40" x14ac:dyDescent="0.2">
      <c r="A7" s="12" t="s">
        <v>80</v>
      </c>
      <c r="B7" s="5">
        <v>9522.7000000000007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18"/>
      <c r="J7" s="18"/>
      <c r="K7" s="5">
        <v>0</v>
      </c>
      <c r="L7" s="5">
        <v>0</v>
      </c>
      <c r="M7" s="5">
        <v>0</v>
      </c>
      <c r="N7" s="5">
        <v>0</v>
      </c>
      <c r="O7" s="18">
        <f t="shared" si="2"/>
        <v>0</v>
      </c>
      <c r="P7" s="20">
        <f t="shared" si="3"/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18">
        <f t="shared" si="4"/>
        <v>0</v>
      </c>
      <c r="AJ7" s="5">
        <v>0</v>
      </c>
      <c r="AK7" s="5">
        <v>0</v>
      </c>
      <c r="AL7" s="18">
        <f t="shared" si="5"/>
        <v>0</v>
      </c>
      <c r="AM7" s="54">
        <f t="shared" si="6"/>
        <v>0</v>
      </c>
      <c r="AN7" s="20">
        <f t="shared" si="7"/>
        <v>0</v>
      </c>
    </row>
    <row r="8" spans="1:40" x14ac:dyDescent="0.2">
      <c r="A8" s="12" t="s">
        <v>80</v>
      </c>
      <c r="B8" s="5">
        <v>9522.7000000000007</v>
      </c>
      <c r="C8" s="2"/>
      <c r="D8" s="2"/>
      <c r="E8" s="18"/>
      <c r="F8" s="2"/>
      <c r="G8" s="2"/>
      <c r="H8" s="18"/>
      <c r="I8" s="18"/>
      <c r="J8" s="18"/>
      <c r="K8" s="2"/>
      <c r="L8" s="2"/>
      <c r="M8" s="2"/>
      <c r="N8" s="2"/>
      <c r="O8" s="18"/>
      <c r="P8" s="20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8"/>
      <c r="AJ8" s="2"/>
      <c r="AK8" s="2"/>
      <c r="AL8" s="18"/>
      <c r="AM8" s="54"/>
      <c r="AN8" s="20"/>
    </row>
    <row r="9" spans="1:40" x14ac:dyDescent="0.2">
      <c r="A9" s="12" t="s">
        <v>80</v>
      </c>
      <c r="B9" s="5">
        <v>9522.7000000000007</v>
      </c>
      <c r="C9" s="2">
        <v>0</v>
      </c>
      <c r="D9" s="2">
        <v>0</v>
      </c>
      <c r="E9" s="18">
        <f t="shared" si="0"/>
        <v>0</v>
      </c>
      <c r="F9" s="2">
        <f>34000.6-128.64</f>
        <v>33871.96</v>
      </c>
      <c r="G9" s="2">
        <v>0</v>
      </c>
      <c r="H9" s="18">
        <f t="shared" si="1"/>
        <v>33871.96</v>
      </c>
      <c r="I9" s="18">
        <v>9529</v>
      </c>
      <c r="J9" s="18">
        <v>9858.48</v>
      </c>
      <c r="K9" s="2">
        <v>0</v>
      </c>
      <c r="L9" s="2">
        <v>0</v>
      </c>
      <c r="M9" s="2">
        <f>37163.1</f>
        <v>37163.1</v>
      </c>
      <c r="N9" s="2">
        <v>37482.74</v>
      </c>
      <c r="O9" s="18">
        <f t="shared" si="2"/>
        <v>562.24109999999996</v>
      </c>
      <c r="P9" s="20">
        <f t="shared" si="3"/>
        <v>508.07939999999996</v>
      </c>
      <c r="Q9" s="2">
        <f>5717.4</f>
        <v>5717.4</v>
      </c>
      <c r="R9" s="2">
        <v>5593.3</v>
      </c>
      <c r="S9" s="2">
        <v>0</v>
      </c>
      <c r="T9" s="2">
        <v>0</v>
      </c>
      <c r="U9" s="2">
        <v>0</v>
      </c>
      <c r="V9" s="2">
        <v>0</v>
      </c>
      <c r="W9" s="2">
        <f>18105.1</f>
        <v>18105.099999999999</v>
      </c>
      <c r="X9" s="2">
        <v>18732.34</v>
      </c>
      <c r="Y9" s="2">
        <f>1867</f>
        <v>1867</v>
      </c>
      <c r="Z9" s="2">
        <v>1661.94</v>
      </c>
      <c r="AA9" s="2">
        <f>17914.55</f>
        <v>17914.55</v>
      </c>
      <c r="AB9" s="2">
        <v>18084.52</v>
      </c>
      <c r="AC9" s="2">
        <f>1619.97</f>
        <v>1619.97</v>
      </c>
      <c r="AD9" s="2">
        <v>1193.31</v>
      </c>
      <c r="AE9" s="2">
        <f>21630.87</f>
        <v>21630.87</v>
      </c>
      <c r="AF9" s="2">
        <v>21333.16</v>
      </c>
      <c r="AG9" s="2">
        <f>89858.53</f>
        <v>89858.53</v>
      </c>
      <c r="AH9" s="2">
        <v>0</v>
      </c>
      <c r="AI9" s="18">
        <f t="shared" si="4"/>
        <v>89858.53</v>
      </c>
      <c r="AJ9" s="2">
        <v>55808.46</v>
      </c>
      <c r="AK9" s="2">
        <v>0</v>
      </c>
      <c r="AL9" s="18">
        <f t="shared" si="5"/>
        <v>55808.46</v>
      </c>
      <c r="AM9" s="54">
        <f t="shared" si="6"/>
        <v>17.899649999999998</v>
      </c>
      <c r="AN9" s="20">
        <f t="shared" si="7"/>
        <v>837.12689999999998</v>
      </c>
    </row>
    <row r="10" spans="1:40" x14ac:dyDescent="0.2">
      <c r="A10" s="12" t="s">
        <v>80</v>
      </c>
      <c r="B10" s="5">
        <v>9522.7000000000007</v>
      </c>
      <c r="C10" s="2">
        <v>1648.28</v>
      </c>
      <c r="D10" s="2">
        <v>0</v>
      </c>
      <c r="E10" s="18">
        <f t="shared" si="0"/>
        <v>1648.28</v>
      </c>
      <c r="F10" s="2">
        <v>2555.1999999999998</v>
      </c>
      <c r="G10" s="2">
        <v>0</v>
      </c>
      <c r="H10" s="18">
        <f t="shared" si="1"/>
        <v>2555.1999999999998</v>
      </c>
      <c r="I10" s="18">
        <v>9529</v>
      </c>
      <c r="J10" s="18">
        <v>582.38</v>
      </c>
      <c r="K10" s="2">
        <v>0</v>
      </c>
      <c r="L10" s="2">
        <v>0</v>
      </c>
      <c r="M10" s="2">
        <v>37163.1</v>
      </c>
      <c r="N10" s="2">
        <v>34013.33</v>
      </c>
      <c r="O10" s="18">
        <f t="shared" si="2"/>
        <v>510.19995</v>
      </c>
      <c r="P10" s="20">
        <f t="shared" si="3"/>
        <v>38.327999999999996</v>
      </c>
      <c r="Q10" s="2">
        <v>5717.4</v>
      </c>
      <c r="R10" s="2">
        <v>5223.03</v>
      </c>
      <c r="S10" s="2">
        <v>0</v>
      </c>
      <c r="T10" s="2">
        <v>0</v>
      </c>
      <c r="U10" s="2">
        <v>0</v>
      </c>
      <c r="V10" s="2">
        <v>0</v>
      </c>
      <c r="W10" s="2">
        <v>18105.099999999999</v>
      </c>
      <c r="X10" s="2">
        <v>16596.14</v>
      </c>
      <c r="Y10" s="2">
        <v>1867</v>
      </c>
      <c r="Z10" s="2">
        <v>1835.86</v>
      </c>
      <c r="AA10" s="2">
        <v>17914.55</v>
      </c>
      <c r="AB10" s="2">
        <v>17042.490000000002</v>
      </c>
      <c r="AC10" s="2">
        <v>1619.97</v>
      </c>
      <c r="AD10" s="2">
        <v>1457.88</v>
      </c>
      <c r="AE10" s="2">
        <v>21630.87</v>
      </c>
      <c r="AF10" s="2">
        <v>19770.099999999999</v>
      </c>
      <c r="AG10" s="2">
        <f>89858.53-1648.28</f>
        <v>88210.25</v>
      </c>
      <c r="AH10" s="2">
        <v>0</v>
      </c>
      <c r="AI10" s="18">
        <f t="shared" si="4"/>
        <v>88210.25</v>
      </c>
      <c r="AJ10" s="2">
        <v>79358.28</v>
      </c>
      <c r="AK10" s="2"/>
      <c r="AL10" s="18">
        <f t="shared" si="5"/>
        <v>79358.28</v>
      </c>
      <c r="AM10" s="54">
        <f t="shared" si="6"/>
        <v>21.868200000000002</v>
      </c>
      <c r="AN10" s="20">
        <f t="shared" si="7"/>
        <v>1190.3742</v>
      </c>
    </row>
    <row r="11" spans="1:40" x14ac:dyDescent="0.2">
      <c r="A11" s="12" t="s">
        <v>80</v>
      </c>
      <c r="B11" s="5">
        <v>9522.7000000000007</v>
      </c>
      <c r="C11" s="2"/>
      <c r="D11" s="2"/>
      <c r="E11" s="18">
        <f t="shared" si="0"/>
        <v>0</v>
      </c>
      <c r="F11" s="2">
        <v>406.81</v>
      </c>
      <c r="G11" s="2"/>
      <c r="H11" s="18">
        <f t="shared" si="1"/>
        <v>406.81</v>
      </c>
      <c r="I11" s="18"/>
      <c r="J11" s="18"/>
      <c r="K11" s="2"/>
      <c r="L11" s="2"/>
      <c r="M11" s="2"/>
      <c r="N11" s="2">
        <v>34478.160000000003</v>
      </c>
      <c r="O11" s="18">
        <f t="shared" si="2"/>
        <v>517.17240000000004</v>
      </c>
      <c r="P11" s="20">
        <f t="shared" si="3"/>
        <v>6.10215</v>
      </c>
      <c r="Q11" s="2">
        <v>5717.4</v>
      </c>
      <c r="R11" s="2">
        <v>5302.44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>
        <v>1498.2</v>
      </c>
      <c r="AE11" s="2"/>
      <c r="AF11" s="2"/>
      <c r="AG11" s="2">
        <f>89858.53-5598</f>
        <v>84260.53</v>
      </c>
      <c r="AH11" s="2"/>
      <c r="AI11" s="18">
        <f t="shared" si="4"/>
        <v>84260.53</v>
      </c>
      <c r="AJ11" s="2">
        <f>82044.93-3871.05</f>
        <v>78173.87999999999</v>
      </c>
      <c r="AK11" s="2"/>
      <c r="AL11" s="18">
        <f t="shared" si="5"/>
        <v>78173.87999999999</v>
      </c>
      <c r="AM11" s="54">
        <f t="shared" si="6"/>
        <v>22.472999999999999</v>
      </c>
      <c r="AN11" s="20">
        <f t="shared" si="7"/>
        <v>1172.6081999999999</v>
      </c>
    </row>
    <row r="12" spans="1:40" x14ac:dyDescent="0.2">
      <c r="A12" s="12" t="s">
        <v>80</v>
      </c>
      <c r="B12" s="5">
        <v>9522.7000000000007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18"/>
      <c r="J12" s="18"/>
      <c r="K12" s="2"/>
      <c r="L12" s="2"/>
      <c r="M12" s="2"/>
      <c r="N12" s="2"/>
      <c r="O12" s="18">
        <f t="shared" si="2"/>
        <v>0</v>
      </c>
      <c r="P12" s="20">
        <f t="shared" si="3"/>
        <v>0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8">
        <f t="shared" si="4"/>
        <v>0</v>
      </c>
      <c r="AJ12" s="2"/>
      <c r="AK12" s="2"/>
      <c r="AL12" s="18">
        <f t="shared" si="5"/>
        <v>0</v>
      </c>
      <c r="AM12" s="54">
        <f t="shared" si="6"/>
        <v>0</v>
      </c>
      <c r="AN12" s="20">
        <f t="shared" si="7"/>
        <v>0</v>
      </c>
    </row>
    <row r="13" spans="1:40" x14ac:dyDescent="0.2">
      <c r="A13" s="12" t="s">
        <v>80</v>
      </c>
      <c r="B13" s="5">
        <v>9522.7000000000007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18"/>
      <c r="J13" s="18"/>
      <c r="K13" s="2"/>
      <c r="L13" s="2"/>
      <c r="M13" s="2"/>
      <c r="N13" s="2"/>
      <c r="O13" s="18">
        <f t="shared" si="2"/>
        <v>0</v>
      </c>
      <c r="P13" s="20">
        <f t="shared" si="3"/>
        <v>0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8">
        <f t="shared" si="4"/>
        <v>0</v>
      </c>
      <c r="AJ13" s="2"/>
      <c r="AK13" s="2"/>
      <c r="AL13" s="18">
        <f t="shared" si="5"/>
        <v>0</v>
      </c>
      <c r="AM13" s="54">
        <f t="shared" si="6"/>
        <v>0</v>
      </c>
      <c r="AN13" s="20">
        <f t="shared" si="7"/>
        <v>0</v>
      </c>
    </row>
    <row r="14" spans="1:40" ht="13.5" thickBot="1" x14ac:dyDescent="0.25">
      <c r="A14" s="12" t="s">
        <v>80</v>
      </c>
      <c r="B14" s="5">
        <v>9522.7000000000007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0"/>
      <c r="J14" s="80"/>
      <c r="K14" s="8"/>
      <c r="L14" s="8"/>
      <c r="M14" s="8"/>
      <c r="N14" s="8"/>
      <c r="O14" s="18">
        <f t="shared" si="2"/>
        <v>0</v>
      </c>
      <c r="P14" s="20">
        <f t="shared" si="3"/>
        <v>0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18">
        <f t="shared" si="4"/>
        <v>0</v>
      </c>
      <c r="AJ14" s="8"/>
      <c r="AK14" s="8"/>
      <c r="AL14" s="18">
        <f t="shared" si="5"/>
        <v>0</v>
      </c>
      <c r="AM14" s="54">
        <f t="shared" si="6"/>
        <v>0</v>
      </c>
      <c r="AN14" s="20">
        <f t="shared" si="7"/>
        <v>0</v>
      </c>
    </row>
    <row r="15" spans="1:40" ht="13.5" thickBot="1" x14ac:dyDescent="0.25">
      <c r="A15" s="10" t="s">
        <v>25</v>
      </c>
      <c r="B15" s="9">
        <v>0</v>
      </c>
      <c r="C15" s="9">
        <f t="shared" ref="C15:G15" si="8">SUM(C3:C14)</f>
        <v>1648.28</v>
      </c>
      <c r="D15" s="9">
        <f t="shared" si="8"/>
        <v>0</v>
      </c>
      <c r="E15" s="19">
        <f t="shared" si="8"/>
        <v>1648.28</v>
      </c>
      <c r="F15" s="9">
        <f t="shared" si="8"/>
        <v>36833.969999999994</v>
      </c>
      <c r="G15" s="9">
        <f t="shared" si="8"/>
        <v>0</v>
      </c>
      <c r="H15" s="19">
        <f t="shared" ref="H15:AG15" si="9">SUM(H3:H14)</f>
        <v>36833.969999999994</v>
      </c>
      <c r="I15" s="19">
        <f>SUM(I9:I14)</f>
        <v>19058</v>
      </c>
      <c r="J15" s="19">
        <f>SUM(J9:J14)</f>
        <v>10440.859999999999</v>
      </c>
      <c r="K15" s="9">
        <f t="shared" si="9"/>
        <v>0</v>
      </c>
      <c r="L15" s="9">
        <f t="shared" si="9"/>
        <v>0</v>
      </c>
      <c r="M15" s="9">
        <f t="shared" si="9"/>
        <v>74326.2</v>
      </c>
      <c r="N15" s="9">
        <f t="shared" si="9"/>
        <v>105974.23000000001</v>
      </c>
      <c r="O15" s="19">
        <f t="shared" si="9"/>
        <v>1589.6134499999998</v>
      </c>
      <c r="P15" s="21">
        <f t="shared" si="9"/>
        <v>552.50954999999999</v>
      </c>
      <c r="Q15" s="10">
        <f t="shared" si="9"/>
        <v>17152.199999999997</v>
      </c>
      <c r="R15" s="9">
        <f t="shared" si="9"/>
        <v>16118.77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36210.199999999997</v>
      </c>
      <c r="X15" s="9">
        <f t="shared" si="9"/>
        <v>35328.479999999996</v>
      </c>
      <c r="Y15" s="9">
        <f t="shared" si="9"/>
        <v>3734</v>
      </c>
      <c r="Z15" s="9">
        <f t="shared" si="9"/>
        <v>3497.8</v>
      </c>
      <c r="AA15" s="9">
        <f t="shared" si="9"/>
        <v>35829.1</v>
      </c>
      <c r="AB15" s="9">
        <f t="shared" si="9"/>
        <v>35127.01</v>
      </c>
      <c r="AC15" s="9">
        <f t="shared" si="9"/>
        <v>3239.94</v>
      </c>
      <c r="AD15" s="9">
        <f t="shared" si="9"/>
        <v>4149.3900000000003</v>
      </c>
      <c r="AE15" s="9">
        <f t="shared" si="9"/>
        <v>43261.74</v>
      </c>
      <c r="AF15" s="11">
        <f t="shared" si="9"/>
        <v>41103.259999999995</v>
      </c>
      <c r="AG15" s="9">
        <f t="shared" si="9"/>
        <v>262329.31</v>
      </c>
      <c r="AH15" s="9"/>
      <c r="AI15" s="19">
        <f>SUM(AI3:AI14)</f>
        <v>262329.31</v>
      </c>
      <c r="AJ15" s="9">
        <f>SUM(AJ3:AJ14)</f>
        <v>213340.62</v>
      </c>
      <c r="AK15" s="9"/>
      <c r="AL15" s="19">
        <f>SUM(AL3:AL14)</f>
        <v>213340.62</v>
      </c>
      <c r="AM15" s="19">
        <f t="shared" ref="AM15:AN15" si="10">SUM(AM3:AM14)</f>
        <v>62.240849999999995</v>
      </c>
      <c r="AN15" s="21">
        <f t="shared" si="10"/>
        <v>3200.1093000000001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5"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16" t="s">
        <v>95</v>
      </c>
      <c r="B3" s="116"/>
      <c r="C3" s="116"/>
      <c r="D3" s="116"/>
      <c r="E3" s="116"/>
      <c r="F3" s="116"/>
      <c r="G3" s="116"/>
    </row>
    <row r="5" spans="1:7" ht="15.75" x14ac:dyDescent="0.25">
      <c r="A5" s="100" t="s">
        <v>82</v>
      </c>
      <c r="B5" s="100"/>
      <c r="C5" s="100"/>
      <c r="D5" s="100"/>
      <c r="E5" s="100"/>
      <c r="F5" s="100"/>
      <c r="G5" s="27">
        <v>77729.91</v>
      </c>
    </row>
    <row r="6" spans="1:7" ht="13.5" thickBot="1" x14ac:dyDescent="0.25"/>
    <row r="7" spans="1:7" ht="63.75" thickBot="1" x14ac:dyDescent="0.3">
      <c r="A7" s="28"/>
      <c r="B7" s="29" t="s">
        <v>58</v>
      </c>
      <c r="C7" s="29" t="s">
        <v>59</v>
      </c>
      <c r="D7" s="34" t="s">
        <v>60</v>
      </c>
      <c r="E7" s="29" t="s">
        <v>61</v>
      </c>
      <c r="F7" s="29" t="s">
        <v>62</v>
      </c>
      <c r="G7" s="35" t="s">
        <v>63</v>
      </c>
    </row>
    <row r="8" spans="1:7" ht="15" customHeight="1" x14ac:dyDescent="0.2">
      <c r="A8" s="4" t="s">
        <v>65</v>
      </c>
      <c r="B8" s="5">
        <f>'выборка 15'!AI15</f>
        <v>308163.82999999996</v>
      </c>
      <c r="C8" s="5">
        <f>'выборка 15'!AL15</f>
        <v>217929.47</v>
      </c>
      <c r="D8" s="36">
        <f>'расход по дому ТО'!I17</f>
        <v>6405.8334999999997</v>
      </c>
      <c r="E8" s="5">
        <v>75846.350000000006</v>
      </c>
      <c r="F8" s="5"/>
      <c r="G8" s="123">
        <f>C14-D14</f>
        <v>175527.83050000001</v>
      </c>
    </row>
    <row r="9" spans="1:7" ht="33" customHeight="1" x14ac:dyDescent="0.2">
      <c r="A9" s="3" t="s">
        <v>66</v>
      </c>
      <c r="B9" s="2">
        <v>0</v>
      </c>
      <c r="C9" s="2">
        <v>0</v>
      </c>
      <c r="D9" s="36">
        <f>('выборка 15'!B3*1.74)*2</f>
        <v>33138.995999999999</v>
      </c>
      <c r="E9" s="2"/>
      <c r="F9" s="2"/>
      <c r="G9" s="124"/>
    </row>
    <row r="10" spans="1:7" ht="31.5" customHeight="1" x14ac:dyDescent="0.2">
      <c r="A10" s="3" t="s">
        <v>67</v>
      </c>
      <c r="B10" s="2"/>
      <c r="C10" s="2"/>
      <c r="D10" s="36">
        <f>('выборка 15'!B4*0.15)*2</f>
        <v>2856.81</v>
      </c>
      <c r="E10" s="2"/>
      <c r="F10" s="2"/>
      <c r="G10" s="124"/>
    </row>
    <row r="11" spans="1:7" ht="15" customHeight="1" x14ac:dyDescent="0.2">
      <c r="A11" s="4" t="s">
        <v>68</v>
      </c>
      <c r="B11" s="2">
        <v>0</v>
      </c>
      <c r="C11" s="2">
        <v>0</v>
      </c>
      <c r="D11" s="36"/>
      <c r="E11" s="2"/>
      <c r="F11" s="2"/>
      <c r="G11" s="124"/>
    </row>
    <row r="12" spans="1:7" ht="26.25" customHeight="1" x14ac:dyDescent="0.2">
      <c r="A12" s="3" t="s">
        <v>69</v>
      </c>
      <c r="B12" s="2">
        <v>0</v>
      </c>
      <c r="C12" s="2">
        <v>0</v>
      </c>
      <c r="D12" s="36"/>
      <c r="E12" s="2"/>
      <c r="F12" s="2"/>
      <c r="G12" s="124"/>
    </row>
    <row r="13" spans="1:7" ht="34.5" customHeight="1" thickBot="1" x14ac:dyDescent="0.25">
      <c r="A13" s="37" t="s">
        <v>70</v>
      </c>
      <c r="B13" s="8">
        <v>0</v>
      </c>
      <c r="C13" s="8">
        <v>0</v>
      </c>
      <c r="D13" s="66"/>
      <c r="E13" s="8"/>
      <c r="F13" s="8"/>
      <c r="G13" s="124"/>
    </row>
    <row r="14" spans="1:7" ht="15" customHeight="1" thickBot="1" x14ac:dyDescent="0.3">
      <c r="A14" s="30" t="s">
        <v>78</v>
      </c>
      <c r="B14" s="31">
        <f t="shared" ref="B14:C14" si="0">SUM(B8:B13)</f>
        <v>308163.82999999996</v>
      </c>
      <c r="C14" s="31">
        <f t="shared" si="0"/>
        <v>217929.47</v>
      </c>
      <c r="D14" s="32">
        <f>SUM(D8:D13)</f>
        <v>42401.639499999997</v>
      </c>
      <c r="E14" s="31">
        <f>SUM(E8:E13)</f>
        <v>75846.350000000006</v>
      </c>
      <c r="F14" s="31"/>
      <c r="G14" s="55">
        <f>SUM(G8)</f>
        <v>175527.83050000001</v>
      </c>
    </row>
    <row r="15" spans="1:7" ht="15" customHeight="1" x14ac:dyDescent="0.25">
      <c r="A15" s="64"/>
      <c r="B15" s="64"/>
      <c r="C15" s="64"/>
      <c r="D15" s="65"/>
      <c r="E15" s="64"/>
      <c r="F15" s="64"/>
      <c r="G15" s="65"/>
    </row>
    <row r="16" spans="1:7" ht="15.75" x14ac:dyDescent="0.25">
      <c r="A16" s="100" t="s">
        <v>96</v>
      </c>
      <c r="B16" s="100"/>
      <c r="C16" s="100"/>
      <c r="D16" s="100"/>
      <c r="E16" s="100"/>
      <c r="F16" s="100"/>
      <c r="G16" s="33">
        <f>G5+C14-D14</f>
        <v>253257.74050000001</v>
      </c>
    </row>
    <row r="17" spans="1:7" ht="15" customHeight="1" x14ac:dyDescent="0.25">
      <c r="A17" s="64"/>
      <c r="B17" s="64"/>
      <c r="C17" s="64"/>
      <c r="D17" s="65"/>
      <c r="E17" s="64"/>
      <c r="F17" s="64"/>
      <c r="G17" s="65"/>
    </row>
    <row r="18" spans="1:7" ht="15" customHeight="1" x14ac:dyDescent="0.25">
      <c r="A18" s="64"/>
      <c r="B18" s="64"/>
      <c r="C18" s="64"/>
      <c r="D18" s="65"/>
      <c r="E18" s="64"/>
      <c r="F18" s="64"/>
      <c r="G18" s="65"/>
    </row>
    <row r="19" spans="1:7" ht="15" customHeight="1" x14ac:dyDescent="0.25">
      <c r="A19" s="64"/>
      <c r="B19" s="64"/>
      <c r="C19" s="64"/>
      <c r="D19" s="65"/>
      <c r="E19" s="64"/>
      <c r="F19" s="64"/>
      <c r="G19" s="65"/>
    </row>
    <row r="20" spans="1:7" ht="15.75" x14ac:dyDescent="0.25">
      <c r="A20" s="100" t="s">
        <v>82</v>
      </c>
      <c r="B20" s="100"/>
      <c r="C20" s="100"/>
      <c r="D20" s="100"/>
      <c r="E20" s="100"/>
      <c r="F20" s="100"/>
      <c r="G20" s="33">
        <v>33383.11</v>
      </c>
    </row>
    <row r="21" spans="1:7" ht="15" customHeight="1" thickBot="1" x14ac:dyDescent="0.3">
      <c r="A21" s="64"/>
      <c r="B21" s="64"/>
      <c r="C21" s="64"/>
      <c r="D21" s="65"/>
      <c r="E21" s="64"/>
      <c r="F21" s="64"/>
      <c r="G21" s="65"/>
    </row>
    <row r="22" spans="1:7" ht="15" customHeight="1" thickBot="1" x14ac:dyDescent="0.25">
      <c r="A22" s="67" t="s">
        <v>79</v>
      </c>
      <c r="B22" s="19">
        <f>'выборка 15'!Q15</f>
        <v>22488.43</v>
      </c>
      <c r="C22" s="19">
        <f>'выборка 15'!R15</f>
        <v>16444.93</v>
      </c>
      <c r="D22" s="68">
        <v>0</v>
      </c>
      <c r="E22" s="19">
        <v>1232.93</v>
      </c>
      <c r="F22" s="19">
        <v>0</v>
      </c>
      <c r="G22" s="69">
        <f>C22-D22</f>
        <v>16444.93</v>
      </c>
    </row>
    <row r="23" spans="1:7" x14ac:dyDescent="0.2">
      <c r="G23" s="38"/>
    </row>
    <row r="24" spans="1:7" ht="15.75" x14ac:dyDescent="0.25">
      <c r="A24" s="100" t="s">
        <v>96</v>
      </c>
      <c r="B24" s="100"/>
      <c r="C24" s="100"/>
      <c r="D24" s="100"/>
      <c r="E24" s="100"/>
      <c r="F24" s="100"/>
      <c r="G24" s="33">
        <f>G20+C22-D22</f>
        <v>49828.04</v>
      </c>
    </row>
    <row r="27" spans="1:7" x14ac:dyDescent="0.2">
      <c r="A27" s="122" t="s">
        <v>91</v>
      </c>
      <c r="B27" s="122"/>
      <c r="C27" s="122"/>
      <c r="D27" s="122"/>
      <c r="E27" s="122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I7" sqref="I7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126" t="s">
        <v>71</v>
      </c>
      <c r="B2" s="126"/>
      <c r="C2" s="126"/>
      <c r="D2" s="126"/>
      <c r="E2" s="126"/>
      <c r="F2" s="126"/>
      <c r="G2" s="126"/>
      <c r="H2" s="126"/>
      <c r="I2" s="126"/>
    </row>
    <row r="3" spans="1:9" ht="17.25" x14ac:dyDescent="0.3">
      <c r="A3" s="126" t="s">
        <v>81</v>
      </c>
      <c r="B3" s="126"/>
      <c r="C3" s="126"/>
      <c r="D3" s="126"/>
      <c r="E3" s="126"/>
      <c r="F3" s="126"/>
      <c r="G3" s="126"/>
      <c r="H3" s="126"/>
      <c r="I3" s="126"/>
    </row>
    <row r="4" spans="1:9" ht="17.25" x14ac:dyDescent="0.3">
      <c r="A4" s="126" t="s">
        <v>94</v>
      </c>
      <c r="B4" s="126"/>
      <c r="C4" s="126"/>
      <c r="D4" s="126"/>
      <c r="E4" s="126"/>
      <c r="F4" s="126"/>
      <c r="G4" s="126"/>
      <c r="H4" s="126"/>
      <c r="I4" s="126"/>
    </row>
    <row r="5" spans="1:9" ht="13.5" thickBot="1" x14ac:dyDescent="0.25"/>
    <row r="6" spans="1:9" ht="45.75" thickBot="1" x14ac:dyDescent="0.25">
      <c r="A6" s="39" t="s">
        <v>14</v>
      </c>
      <c r="B6" s="40" t="s">
        <v>15</v>
      </c>
      <c r="C6" s="41" t="s">
        <v>16</v>
      </c>
      <c r="D6" s="41" t="s">
        <v>72</v>
      </c>
      <c r="E6" s="41" t="s">
        <v>18</v>
      </c>
      <c r="F6" s="42" t="s">
        <v>87</v>
      </c>
      <c r="G6" s="42" t="s">
        <v>73</v>
      </c>
      <c r="H6" s="42" t="s">
        <v>23</v>
      </c>
      <c r="I6" s="7" t="s">
        <v>74</v>
      </c>
    </row>
    <row r="7" spans="1:9" x14ac:dyDescent="0.2">
      <c r="A7" s="43">
        <v>1</v>
      </c>
      <c r="B7" s="44">
        <v>2015</v>
      </c>
      <c r="C7" s="45" t="s">
        <v>83</v>
      </c>
      <c r="D7" s="46" t="s">
        <v>88</v>
      </c>
      <c r="E7" s="47" t="s">
        <v>89</v>
      </c>
      <c r="F7" s="48" t="s">
        <v>90</v>
      </c>
      <c r="G7" s="48"/>
      <c r="H7" s="48"/>
      <c r="I7" s="49">
        <v>3073.69</v>
      </c>
    </row>
    <row r="8" spans="1:9" x14ac:dyDescent="0.2">
      <c r="A8" s="43"/>
      <c r="B8" s="44"/>
      <c r="C8" s="45"/>
      <c r="D8" s="46"/>
      <c r="E8" s="47"/>
      <c r="F8" s="48"/>
      <c r="G8" s="48"/>
      <c r="H8" s="48"/>
      <c r="I8" s="49"/>
    </row>
    <row r="9" spans="1:9" x14ac:dyDescent="0.2">
      <c r="A9" s="43"/>
      <c r="B9" s="44"/>
      <c r="C9" s="45"/>
      <c r="D9" s="46"/>
      <c r="E9" s="47"/>
      <c r="F9" s="48"/>
      <c r="G9" s="48"/>
      <c r="H9" s="48"/>
      <c r="I9" s="49"/>
    </row>
    <row r="10" spans="1:9" x14ac:dyDescent="0.2">
      <c r="A10" s="43"/>
      <c r="B10" s="44"/>
      <c r="C10" s="45"/>
      <c r="D10" s="46"/>
      <c r="E10" s="47"/>
      <c r="F10" s="48"/>
      <c r="G10" s="48"/>
      <c r="H10" s="48"/>
      <c r="I10" s="49"/>
    </row>
    <row r="11" spans="1:9" x14ac:dyDescent="0.2">
      <c r="A11" s="43"/>
      <c r="B11" s="44"/>
      <c r="C11" s="45"/>
      <c r="D11" s="46"/>
      <c r="E11" s="47"/>
      <c r="F11" s="48"/>
      <c r="G11" s="48"/>
      <c r="H11" s="48"/>
      <c r="I11" s="49"/>
    </row>
    <row r="12" spans="1:9" x14ac:dyDescent="0.2">
      <c r="A12" s="43"/>
      <c r="B12" s="44"/>
      <c r="C12" s="45"/>
      <c r="D12" s="46"/>
      <c r="E12" s="47"/>
      <c r="F12" s="48"/>
      <c r="G12" s="48"/>
      <c r="H12" s="48"/>
      <c r="I12" s="49"/>
    </row>
    <row r="13" spans="1:9" x14ac:dyDescent="0.2">
      <c r="A13" s="43"/>
      <c r="B13" s="44"/>
      <c r="C13" s="45"/>
      <c r="D13" s="46"/>
      <c r="E13" s="47"/>
      <c r="F13" s="48"/>
      <c r="G13" s="48"/>
      <c r="H13" s="48"/>
      <c r="I13" s="49"/>
    </row>
    <row r="14" spans="1:9" x14ac:dyDescent="0.2">
      <c r="A14" s="43"/>
      <c r="B14" s="44"/>
      <c r="C14" s="45"/>
      <c r="D14" s="46"/>
      <c r="E14" s="47"/>
      <c r="F14" s="48"/>
      <c r="G14" s="48"/>
      <c r="H14" s="48"/>
      <c r="I14" s="49"/>
    </row>
    <row r="15" spans="1:9" x14ac:dyDescent="0.2">
      <c r="A15" s="43"/>
      <c r="B15" s="44"/>
      <c r="C15" s="45"/>
      <c r="D15" s="46"/>
      <c r="E15" s="47"/>
      <c r="F15" s="48"/>
      <c r="G15" s="48"/>
      <c r="H15" s="48"/>
      <c r="I15" s="49"/>
    </row>
    <row r="16" spans="1:9" ht="15.75" thickBot="1" x14ac:dyDescent="0.25">
      <c r="A16" s="50"/>
      <c r="B16" s="127" t="s">
        <v>75</v>
      </c>
      <c r="C16" s="128"/>
      <c r="D16" s="128"/>
      <c r="E16" s="128"/>
      <c r="F16" s="128"/>
      <c r="G16" s="128"/>
      <c r="H16" s="129"/>
      <c r="I16" s="51">
        <f>'выборка 15'!AM15+'выборка 15'!AN15</f>
        <v>3332.1434999999997</v>
      </c>
    </row>
    <row r="17" spans="1:9" ht="15.75" thickBot="1" x14ac:dyDescent="0.3">
      <c r="A17" s="104" t="s">
        <v>76</v>
      </c>
      <c r="B17" s="105"/>
      <c r="C17" s="105"/>
      <c r="D17" s="52"/>
      <c r="E17" s="52"/>
      <c r="F17" s="52"/>
      <c r="G17" s="52"/>
      <c r="H17" s="52"/>
      <c r="I17" s="53">
        <f>SUM(I7:I16)</f>
        <v>6405.8334999999997</v>
      </c>
    </row>
    <row r="18" spans="1:9" x14ac:dyDescent="0.2">
      <c r="A18" s="130"/>
      <c r="B18" s="130"/>
      <c r="C18" s="131"/>
      <c r="D18" s="131"/>
      <c r="E18" s="131"/>
      <c r="F18" s="131"/>
      <c r="G18" s="131"/>
      <c r="H18" s="131"/>
      <c r="I18" s="131"/>
    </row>
    <row r="22" spans="1:9" ht="15" x14ac:dyDescent="0.25">
      <c r="A22" s="125" t="s">
        <v>91</v>
      </c>
      <c r="B22" s="125"/>
      <c r="C22" s="125"/>
      <c r="D22" s="125"/>
      <c r="E22" s="125"/>
      <c r="F22" s="125"/>
      <c r="G22" s="125"/>
      <c r="H22" s="125"/>
      <c r="I22" s="125"/>
    </row>
  </sheetData>
  <mergeCells count="7">
    <mergeCell ref="A22:I22"/>
    <mergeCell ref="A2:I2"/>
    <mergeCell ref="A3:I3"/>
    <mergeCell ref="A4:I4"/>
    <mergeCell ref="B16:H16"/>
    <mergeCell ref="A17:C17"/>
    <mergeCell ref="A18:I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workbookViewId="0">
      <selection activeCell="B20" sqref="B20:E20"/>
    </sheetView>
  </sheetViews>
  <sheetFormatPr defaultRowHeight="12.75" x14ac:dyDescent="0.2"/>
  <cols>
    <col min="2" max="2" width="29" customWidth="1"/>
    <col min="3" max="3" width="19.5703125" customWidth="1"/>
    <col min="4" max="4" width="21.42578125" customWidth="1"/>
    <col min="5" max="5" width="19.7109375" customWidth="1"/>
  </cols>
  <sheetData>
    <row r="2" spans="2:8" ht="51.75" customHeight="1" x14ac:dyDescent="0.4">
      <c r="B2" s="99" t="s">
        <v>12</v>
      </c>
      <c r="C2" s="99"/>
      <c r="D2" s="99"/>
      <c r="E2" s="99"/>
    </row>
    <row r="3" spans="2:8" ht="26.25" customHeight="1" x14ac:dyDescent="0.35">
      <c r="B3" s="98" t="s">
        <v>93</v>
      </c>
      <c r="C3" s="98"/>
      <c r="D3" s="98"/>
      <c r="E3" s="98"/>
      <c r="F3" s="1"/>
      <c r="G3" s="1"/>
      <c r="H3" s="1"/>
    </row>
    <row r="4" spans="2:8" ht="30" customHeight="1" thickBot="1" x14ac:dyDescent="0.25">
      <c r="B4" s="98"/>
      <c r="C4" s="98"/>
      <c r="D4" s="98"/>
      <c r="E4" s="98"/>
    </row>
    <row r="5" spans="2:8" ht="60.75" thickBot="1" x14ac:dyDescent="0.3">
      <c r="B5" s="6" t="s">
        <v>0</v>
      </c>
      <c r="C5" s="6" t="s">
        <v>10</v>
      </c>
      <c r="D5" s="6" t="s">
        <v>11</v>
      </c>
      <c r="E5" s="7" t="s">
        <v>13</v>
      </c>
    </row>
    <row r="6" spans="2:8" x14ac:dyDescent="0.2">
      <c r="B6" s="56" t="s">
        <v>112</v>
      </c>
      <c r="C6" s="57">
        <f>'отчет тек. ремонт'!B10</f>
        <v>702604.21000000008</v>
      </c>
      <c r="D6" s="57">
        <f>'отчет тек. ремонт'!C10</f>
        <v>548972.26</v>
      </c>
      <c r="E6" s="70" t="e">
        <f>'отчет тек. ремонт'!#REF!</f>
        <v>#REF!</v>
      </c>
    </row>
    <row r="7" spans="2:8" ht="25.5" x14ac:dyDescent="0.2">
      <c r="B7" s="58" t="s">
        <v>1</v>
      </c>
      <c r="C7" s="2">
        <f>'отчет тек. ремонт'!B16</f>
        <v>39640.629999999997</v>
      </c>
      <c r="D7" s="22">
        <f>'отчет тек. ремонт'!C16</f>
        <v>35397.299999999996</v>
      </c>
      <c r="E7" s="71" t="e">
        <f>'отчет тек. ремонт'!#REF!</f>
        <v>#REF!</v>
      </c>
    </row>
    <row r="8" spans="2:8" ht="38.25" x14ac:dyDescent="0.2">
      <c r="B8" s="58" t="s">
        <v>2</v>
      </c>
      <c r="C8" s="2">
        <v>0</v>
      </c>
      <c r="D8" s="2">
        <v>0</v>
      </c>
      <c r="E8" s="59">
        <v>0</v>
      </c>
    </row>
    <row r="9" spans="2:8" x14ac:dyDescent="0.2">
      <c r="B9" s="58" t="s">
        <v>3</v>
      </c>
      <c r="C9" s="2">
        <v>0</v>
      </c>
      <c r="D9" s="2">
        <v>0</v>
      </c>
      <c r="E9" s="59">
        <v>0</v>
      </c>
    </row>
    <row r="10" spans="2:8" x14ac:dyDescent="0.2">
      <c r="B10" s="58" t="s">
        <v>4</v>
      </c>
      <c r="C10" s="2">
        <f>'выборка 15'!W15</f>
        <v>54315.299999999996</v>
      </c>
      <c r="D10" s="2">
        <f>'выборка 15'!X15</f>
        <v>36435.040000000001</v>
      </c>
      <c r="E10" s="59">
        <v>0</v>
      </c>
    </row>
    <row r="11" spans="2:8" x14ac:dyDescent="0.2">
      <c r="B11" s="58" t="s">
        <v>5</v>
      </c>
      <c r="C11" s="2">
        <f>'выборка 15'!Y15</f>
        <v>5505.75</v>
      </c>
      <c r="D11" s="2">
        <f>'выборка 15'!Z15</f>
        <v>3725.96</v>
      </c>
      <c r="E11" s="59">
        <v>0</v>
      </c>
    </row>
    <row r="12" spans="2:8" x14ac:dyDescent="0.2">
      <c r="B12" s="58" t="s">
        <v>6</v>
      </c>
      <c r="C12" s="2">
        <f>'выборка 15'!AA15</f>
        <v>52981.3</v>
      </c>
      <c r="D12" s="2">
        <f>'выборка 15'!AB15</f>
        <v>36175.31</v>
      </c>
      <c r="E12" s="59">
        <v>0</v>
      </c>
    </row>
    <row r="13" spans="2:8" ht="25.5" x14ac:dyDescent="0.2">
      <c r="B13" s="58" t="s">
        <v>7</v>
      </c>
      <c r="C13" s="2">
        <f>'выборка 15'!M15</f>
        <v>110345.85</v>
      </c>
      <c r="D13" s="2">
        <f>'выборка 15'!N15</f>
        <v>108184.67000000001</v>
      </c>
      <c r="E13" s="59">
        <v>0</v>
      </c>
    </row>
    <row r="14" spans="2:8" ht="25.5" x14ac:dyDescent="0.2">
      <c r="B14" s="58" t="s">
        <v>8</v>
      </c>
      <c r="C14" s="2">
        <f>'выборка 15'!AC15</f>
        <v>4288.16</v>
      </c>
      <c r="D14" s="2">
        <f>'выборка 15'!AD15</f>
        <v>4213.43</v>
      </c>
      <c r="E14" s="59">
        <f>D14</f>
        <v>4213.43</v>
      </c>
    </row>
    <row r="15" spans="2:8" x14ac:dyDescent="0.2">
      <c r="B15" s="78" t="s">
        <v>115</v>
      </c>
      <c r="C15" s="24">
        <f>'выборка 15'!I15</f>
        <v>19058</v>
      </c>
      <c r="D15" s="8">
        <f>'выборка 15'!J15</f>
        <v>10440.859999999999</v>
      </c>
      <c r="E15" s="79"/>
    </row>
    <row r="16" spans="2:8" ht="26.25" thickBot="1" x14ac:dyDescent="0.25">
      <c r="B16" s="60" t="s">
        <v>9</v>
      </c>
      <c r="C16" s="61">
        <f>'выборка 15'!AE15</f>
        <v>63653.81</v>
      </c>
      <c r="D16" s="61">
        <f>'выборка 15'!AF15</f>
        <v>42349.56</v>
      </c>
      <c r="E16" s="62">
        <v>0</v>
      </c>
    </row>
    <row r="18" spans="2:5" ht="19.5" customHeight="1" x14ac:dyDescent="0.2">
      <c r="B18" s="75" t="s">
        <v>91</v>
      </c>
      <c r="C18" s="75"/>
      <c r="D18" s="75"/>
      <c r="E18" s="75"/>
    </row>
    <row r="20" spans="2:5" x14ac:dyDescent="0.2">
      <c r="B20" s="76" t="s">
        <v>118</v>
      </c>
      <c r="C20" s="76"/>
      <c r="D20" s="76"/>
      <c r="E20" s="77">
        <v>21880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2"/>
  <sheetViews>
    <sheetView tabSelected="1" workbookViewId="0">
      <selection activeCell="I3" sqref="I3"/>
    </sheetView>
  </sheetViews>
  <sheetFormatPr defaultRowHeight="12.75" x14ac:dyDescent="0.2"/>
  <cols>
    <col min="1" max="1" width="30.7109375" customWidth="1"/>
    <col min="2" max="2" width="26.28515625" customWidth="1"/>
    <col min="3" max="3" width="22.85546875" customWidth="1"/>
    <col min="4" max="4" width="17.5703125" customWidth="1"/>
  </cols>
  <sheetData>
    <row r="2" spans="1:4" ht="101.25" customHeight="1" x14ac:dyDescent="0.35">
      <c r="A2" s="98" t="s">
        <v>150</v>
      </c>
      <c r="B2" s="98"/>
      <c r="C2" s="98"/>
      <c r="D2" s="98"/>
    </row>
    <row r="3" spans="1:4" ht="23.25" x14ac:dyDescent="0.35">
      <c r="A3" s="26"/>
      <c r="B3" s="26"/>
      <c r="C3" s="26"/>
      <c r="D3" s="26"/>
    </row>
    <row r="5" spans="1:4" ht="60" customHeight="1" x14ac:dyDescent="0.25">
      <c r="A5" s="63"/>
      <c r="B5" s="82" t="s">
        <v>58</v>
      </c>
      <c r="C5" s="82" t="s">
        <v>59</v>
      </c>
      <c r="D5" s="88" t="s">
        <v>60</v>
      </c>
    </row>
    <row r="6" spans="1:4" ht="15" customHeight="1" x14ac:dyDescent="0.25">
      <c r="A6" s="83" t="s">
        <v>119</v>
      </c>
      <c r="B6" s="82"/>
      <c r="C6" s="82">
        <v>0</v>
      </c>
      <c r="D6" s="88"/>
    </row>
    <row r="7" spans="1:4" x14ac:dyDescent="0.2">
      <c r="A7" s="89" t="s">
        <v>112</v>
      </c>
      <c r="B7" s="2">
        <f>[1]декабрь!$AF$50</f>
        <v>702604.21000000008</v>
      </c>
      <c r="C7" s="2">
        <f>[1]декабрь!$AH$50</f>
        <v>548972.26</v>
      </c>
      <c r="D7" s="87">
        <v>472886.24</v>
      </c>
    </row>
    <row r="8" spans="1:4" ht="25.5" x14ac:dyDescent="0.2">
      <c r="A8" s="3" t="s">
        <v>66</v>
      </c>
      <c r="B8" s="2">
        <v>0</v>
      </c>
      <c r="C8" s="2">
        <v>0</v>
      </c>
      <c r="D8" s="87">
        <f>[1]декабрь!$BB$50</f>
        <v>116063.21999999997</v>
      </c>
    </row>
    <row r="9" spans="1:4" ht="38.25" x14ac:dyDescent="0.2">
      <c r="A9" s="3" t="s">
        <v>67</v>
      </c>
      <c r="B9" s="2">
        <v>0</v>
      </c>
      <c r="C9" s="2">
        <v>0</v>
      </c>
      <c r="D9" s="87">
        <f>[1]декабрь!$BD$50</f>
        <v>10005.450000000001</v>
      </c>
    </row>
    <row r="10" spans="1:4" ht="15" x14ac:dyDescent="0.25">
      <c r="A10" s="90" t="s">
        <v>64</v>
      </c>
      <c r="B10" s="90">
        <f>SUM(B7:B9)</f>
        <v>702604.21000000008</v>
      </c>
      <c r="C10" s="90">
        <f>SUM(C6:C9)</f>
        <v>548972.26</v>
      </c>
      <c r="D10" s="91">
        <f>SUM(D7:D9)</f>
        <v>598954.90999999992</v>
      </c>
    </row>
    <row r="12" spans="1:4" ht="15.75" customHeight="1" x14ac:dyDescent="0.25">
      <c r="A12" s="100" t="s">
        <v>151</v>
      </c>
      <c r="B12" s="100"/>
      <c r="C12" s="100"/>
      <c r="D12" s="92">
        <f>C10-D10</f>
        <v>-49982.649999999907</v>
      </c>
    </row>
    <row r="14" spans="1:4" ht="15.75" x14ac:dyDescent="0.25">
      <c r="A14" s="100" t="s">
        <v>82</v>
      </c>
      <c r="B14" s="100"/>
      <c r="C14" s="100"/>
      <c r="D14" s="100"/>
    </row>
    <row r="15" spans="1:4" ht="15.75" thickBot="1" x14ac:dyDescent="0.3">
      <c r="A15" s="64"/>
      <c r="B15" s="64"/>
      <c r="C15" s="64"/>
      <c r="D15" s="65"/>
    </row>
    <row r="16" spans="1:4" ht="13.5" thickBot="1" x14ac:dyDescent="0.25">
      <c r="A16" s="67" t="s">
        <v>79</v>
      </c>
      <c r="B16" s="19">
        <f>'выборка 15'!Q15+(5717.4*3)</f>
        <v>39640.629999999997</v>
      </c>
      <c r="C16" s="19">
        <f>'выборка 15'!R15+6111.35+5009.07+7831.95</f>
        <v>35397.299999999996</v>
      </c>
      <c r="D16" s="68">
        <v>0</v>
      </c>
    </row>
    <row r="18" spans="1:4" ht="15.75" customHeight="1" x14ac:dyDescent="0.25">
      <c r="A18" s="100" t="s">
        <v>151</v>
      </c>
      <c r="B18" s="100"/>
      <c r="C18" s="100"/>
      <c r="D18" s="92">
        <f>C16-D16</f>
        <v>35397.299999999996</v>
      </c>
    </row>
    <row r="20" spans="1:4" x14ac:dyDescent="0.2">
      <c r="A20" s="76" t="s">
        <v>130</v>
      </c>
      <c r="B20" s="76"/>
      <c r="C20" s="76"/>
      <c r="D20" s="77">
        <v>532976.1</v>
      </c>
    </row>
    <row r="22" spans="1:4" x14ac:dyDescent="0.2">
      <c r="A22" s="75" t="s">
        <v>91</v>
      </c>
      <c r="B22" s="75"/>
      <c r="C22" s="75"/>
      <c r="D22" s="75"/>
    </row>
  </sheetData>
  <mergeCells count="4">
    <mergeCell ref="A2:D2"/>
    <mergeCell ref="A14:D14"/>
    <mergeCell ref="A12:C12"/>
    <mergeCell ref="A18:C18"/>
  </mergeCells>
  <pageMargins left="0.7" right="0.7" top="0.75" bottom="0.75" header="0.3" footer="0.3"/>
  <pageSetup paperSize="9" scale="98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A18" sqref="A18:XFD36"/>
    </sheetView>
  </sheetViews>
  <sheetFormatPr defaultRowHeight="12.75" x14ac:dyDescent="0.2"/>
  <cols>
    <col min="1" max="1" width="4.5703125" customWidth="1"/>
    <col min="4" max="4" width="27.28515625" customWidth="1"/>
    <col min="5" max="5" width="38.42578125" customWidth="1"/>
    <col min="6" max="6" width="31.28515625" customWidth="1"/>
    <col min="7" max="7" width="11.28515625" customWidth="1"/>
  </cols>
  <sheetData>
    <row r="1" spans="1:7" ht="93.75" customHeight="1" thickBot="1" x14ac:dyDescent="0.4">
      <c r="A1" s="107" t="s">
        <v>160</v>
      </c>
      <c r="B1" s="107"/>
      <c r="C1" s="107"/>
      <c r="D1" s="107"/>
      <c r="E1" s="107"/>
      <c r="F1" s="107"/>
      <c r="G1" s="107"/>
    </row>
    <row r="2" spans="1:7" ht="16.5" customHeight="1" x14ac:dyDescent="0.2">
      <c r="A2" s="108" t="s">
        <v>14</v>
      </c>
      <c r="B2" s="110" t="s">
        <v>15</v>
      </c>
      <c r="C2" s="110" t="s">
        <v>16</v>
      </c>
      <c r="D2" s="110" t="s">
        <v>17</v>
      </c>
      <c r="E2" s="110" t="s">
        <v>18</v>
      </c>
      <c r="F2" s="110" t="s">
        <v>21</v>
      </c>
      <c r="G2" s="110" t="s">
        <v>22</v>
      </c>
    </row>
    <row r="3" spans="1:7" ht="29.25" customHeight="1" thickBot="1" x14ac:dyDescent="0.25">
      <c r="A3" s="109"/>
      <c r="B3" s="111"/>
      <c r="C3" s="112"/>
      <c r="D3" s="112"/>
      <c r="E3" s="112"/>
      <c r="F3" s="111"/>
      <c r="G3" s="111"/>
    </row>
    <row r="4" spans="1:7" x14ac:dyDescent="0.2">
      <c r="A4" s="72">
        <v>1</v>
      </c>
      <c r="B4" s="72">
        <v>2016</v>
      </c>
      <c r="C4" s="113" t="s">
        <v>161</v>
      </c>
      <c r="D4" s="113"/>
      <c r="E4" s="113"/>
      <c r="F4" s="23"/>
      <c r="G4" s="5">
        <v>-17389.55</v>
      </c>
    </row>
    <row r="5" spans="1:7" x14ac:dyDescent="0.2">
      <c r="A5" s="43">
        <v>2</v>
      </c>
      <c r="B5" s="72">
        <v>2016</v>
      </c>
      <c r="C5" s="113" t="s">
        <v>162</v>
      </c>
      <c r="D5" s="113"/>
      <c r="E5" s="113"/>
      <c r="F5" s="48"/>
      <c r="G5" s="49">
        <f>-357.66</f>
        <v>-357.66</v>
      </c>
    </row>
    <row r="6" spans="1:7" x14ac:dyDescent="0.2">
      <c r="A6" s="44">
        <v>3</v>
      </c>
      <c r="B6" s="72">
        <v>2016</v>
      </c>
      <c r="C6" s="113" t="s">
        <v>163</v>
      </c>
      <c r="D6" s="113"/>
      <c r="E6" s="113"/>
      <c r="F6" s="48"/>
      <c r="G6" s="74">
        <f>-835.12</f>
        <v>-835.12</v>
      </c>
    </row>
    <row r="7" spans="1:7" x14ac:dyDescent="0.2">
      <c r="A7" s="73">
        <v>4</v>
      </c>
      <c r="B7" s="72">
        <v>2016</v>
      </c>
      <c r="C7" s="113" t="s">
        <v>164</v>
      </c>
      <c r="D7" s="113"/>
      <c r="E7" s="113"/>
      <c r="F7" s="63"/>
      <c r="G7" s="2">
        <v>-10219.530000000001</v>
      </c>
    </row>
    <row r="8" spans="1:7" ht="25.5" x14ac:dyDescent="0.2">
      <c r="A8" s="73">
        <v>5</v>
      </c>
      <c r="B8" s="72">
        <v>2016</v>
      </c>
      <c r="C8" s="73" t="s">
        <v>165</v>
      </c>
      <c r="D8" s="63" t="s">
        <v>166</v>
      </c>
      <c r="E8" s="2" t="s">
        <v>167</v>
      </c>
      <c r="F8" s="63" t="s">
        <v>168</v>
      </c>
      <c r="G8" s="2">
        <v>51814.87</v>
      </c>
    </row>
    <row r="9" spans="1:7" x14ac:dyDescent="0.2">
      <c r="A9" s="73">
        <v>6</v>
      </c>
      <c r="B9" s="72">
        <v>2016</v>
      </c>
      <c r="C9" s="73" t="s">
        <v>165</v>
      </c>
      <c r="D9" s="2" t="s">
        <v>169</v>
      </c>
      <c r="E9" s="2" t="s">
        <v>170</v>
      </c>
      <c r="F9" s="63" t="s">
        <v>171</v>
      </c>
      <c r="G9" s="2">
        <v>17941.52</v>
      </c>
    </row>
    <row r="10" spans="1:7" x14ac:dyDescent="0.2">
      <c r="A10" s="73">
        <v>7</v>
      </c>
      <c r="B10" s="72">
        <v>2016</v>
      </c>
      <c r="C10" s="73" t="s">
        <v>165</v>
      </c>
      <c r="D10" s="63" t="s">
        <v>172</v>
      </c>
      <c r="E10" s="2" t="s">
        <v>173</v>
      </c>
      <c r="F10" s="63"/>
      <c r="G10" s="2">
        <v>2672.25</v>
      </c>
    </row>
    <row r="11" spans="1:7" x14ac:dyDescent="0.2">
      <c r="A11" s="73">
        <v>8</v>
      </c>
      <c r="B11" s="72">
        <v>2016</v>
      </c>
      <c r="C11" s="73" t="s">
        <v>165</v>
      </c>
      <c r="D11" s="63" t="s">
        <v>174</v>
      </c>
      <c r="E11" s="63" t="s">
        <v>152</v>
      </c>
      <c r="F11" s="63" t="s">
        <v>175</v>
      </c>
      <c r="G11" s="2">
        <v>850.64</v>
      </c>
    </row>
    <row r="12" spans="1:7" x14ac:dyDescent="0.2">
      <c r="A12" s="73">
        <v>9</v>
      </c>
      <c r="B12" s="72">
        <v>2016</v>
      </c>
      <c r="C12" s="73" t="s">
        <v>165</v>
      </c>
      <c r="D12" s="63" t="s">
        <v>176</v>
      </c>
      <c r="E12" s="63" t="s">
        <v>154</v>
      </c>
      <c r="F12" s="63"/>
      <c r="G12" s="2">
        <v>310.95999999999998</v>
      </c>
    </row>
    <row r="13" spans="1:7" x14ac:dyDescent="0.2">
      <c r="A13" s="73">
        <v>10</v>
      </c>
      <c r="B13" s="72">
        <v>2016</v>
      </c>
      <c r="C13" s="73" t="s">
        <v>165</v>
      </c>
      <c r="D13" s="63" t="s">
        <v>177</v>
      </c>
      <c r="E13" s="63" t="s">
        <v>153</v>
      </c>
      <c r="F13" s="63"/>
      <c r="G13" s="2">
        <v>621.41999999999996</v>
      </c>
    </row>
    <row r="14" spans="1:7" x14ac:dyDescent="0.2">
      <c r="A14" s="73">
        <v>11</v>
      </c>
      <c r="B14" s="72">
        <v>2016</v>
      </c>
      <c r="C14" s="73" t="s">
        <v>178</v>
      </c>
      <c r="D14" s="63" t="s">
        <v>179</v>
      </c>
      <c r="E14" s="2" t="s">
        <v>99</v>
      </c>
      <c r="F14" s="63"/>
      <c r="G14" s="2">
        <v>1432.49</v>
      </c>
    </row>
    <row r="15" spans="1:7" x14ac:dyDescent="0.2">
      <c r="A15" s="73">
        <v>12</v>
      </c>
      <c r="B15" s="72">
        <v>2016</v>
      </c>
      <c r="C15" s="73" t="s">
        <v>180</v>
      </c>
      <c r="D15" s="63" t="s">
        <v>181</v>
      </c>
      <c r="E15" s="2" t="s">
        <v>182</v>
      </c>
      <c r="F15" s="63"/>
      <c r="G15" s="2">
        <v>21558</v>
      </c>
    </row>
    <row r="16" spans="1:7" x14ac:dyDescent="0.2">
      <c r="A16" s="73">
        <v>13</v>
      </c>
      <c r="B16" s="72">
        <v>2016</v>
      </c>
      <c r="C16" s="73" t="s">
        <v>180</v>
      </c>
      <c r="D16" s="63" t="s">
        <v>183</v>
      </c>
      <c r="E16" s="2" t="s">
        <v>184</v>
      </c>
      <c r="F16" s="63"/>
      <c r="G16" s="2">
        <v>142.53</v>
      </c>
    </row>
    <row r="17" spans="1:7" x14ac:dyDescent="0.2">
      <c r="A17" s="73">
        <v>14</v>
      </c>
      <c r="B17" s="72">
        <v>2016</v>
      </c>
      <c r="C17" s="73" t="s">
        <v>180</v>
      </c>
      <c r="D17" s="63" t="s">
        <v>185</v>
      </c>
      <c r="E17" s="2" t="s">
        <v>186</v>
      </c>
      <c r="F17" s="63"/>
      <c r="G17" s="2">
        <v>219.84</v>
      </c>
    </row>
    <row r="18" spans="1:7" hidden="1" x14ac:dyDescent="0.2">
      <c r="A18" s="73">
        <v>15</v>
      </c>
      <c r="B18" s="44"/>
      <c r="C18" s="73"/>
      <c r="D18" s="63"/>
      <c r="E18" s="2"/>
      <c r="F18" s="63"/>
      <c r="G18" s="2"/>
    </row>
    <row r="19" spans="1:7" hidden="1" x14ac:dyDescent="0.2">
      <c r="A19" s="73">
        <v>16</v>
      </c>
      <c r="B19" s="44"/>
      <c r="C19" s="73"/>
      <c r="D19" s="63"/>
      <c r="E19" s="2"/>
      <c r="F19" s="63"/>
      <c r="G19" s="2"/>
    </row>
    <row r="20" spans="1:7" hidden="1" x14ac:dyDescent="0.2">
      <c r="A20" s="73">
        <v>17</v>
      </c>
      <c r="B20" s="44"/>
      <c r="C20" s="73"/>
      <c r="D20" s="63"/>
      <c r="E20" s="2"/>
      <c r="F20" s="63"/>
      <c r="G20" s="2"/>
    </row>
    <row r="21" spans="1:7" hidden="1" x14ac:dyDescent="0.2">
      <c r="A21" s="73">
        <v>18</v>
      </c>
      <c r="B21" s="44"/>
      <c r="C21" s="73"/>
      <c r="D21" s="63"/>
      <c r="E21" s="2"/>
      <c r="F21" s="63"/>
      <c r="G21" s="2"/>
    </row>
    <row r="22" spans="1:7" hidden="1" x14ac:dyDescent="0.2">
      <c r="A22" s="73">
        <v>19</v>
      </c>
      <c r="B22" s="44"/>
      <c r="C22" s="73"/>
      <c r="D22" s="63"/>
      <c r="E22" s="2"/>
      <c r="F22" s="63"/>
      <c r="G22" s="2"/>
    </row>
    <row r="23" spans="1:7" hidden="1" x14ac:dyDescent="0.2">
      <c r="A23" s="73">
        <v>20</v>
      </c>
      <c r="B23" s="44"/>
      <c r="C23" s="73"/>
      <c r="D23" s="63"/>
      <c r="E23" s="2"/>
      <c r="F23" s="63"/>
      <c r="G23" s="2"/>
    </row>
    <row r="24" spans="1:7" hidden="1" x14ac:dyDescent="0.2">
      <c r="A24" s="73">
        <v>21</v>
      </c>
      <c r="B24" s="44"/>
      <c r="C24" s="73"/>
      <c r="D24" s="63"/>
      <c r="E24" s="2"/>
      <c r="F24" s="63"/>
      <c r="G24" s="2"/>
    </row>
    <row r="25" spans="1:7" hidden="1" x14ac:dyDescent="0.2">
      <c r="A25" s="73">
        <v>22</v>
      </c>
      <c r="B25" s="44"/>
      <c r="C25" s="73"/>
      <c r="D25" s="63"/>
      <c r="E25" s="2"/>
      <c r="F25" s="63"/>
      <c r="G25" s="2"/>
    </row>
    <row r="26" spans="1:7" hidden="1" x14ac:dyDescent="0.2">
      <c r="A26" s="73">
        <v>23</v>
      </c>
      <c r="B26" s="44"/>
      <c r="C26" s="73"/>
      <c r="D26" s="63"/>
      <c r="E26" s="2"/>
      <c r="F26" s="63"/>
      <c r="G26" s="2"/>
    </row>
    <row r="27" spans="1:7" hidden="1" x14ac:dyDescent="0.2">
      <c r="A27" s="73">
        <v>24</v>
      </c>
      <c r="B27" s="44"/>
      <c r="C27" s="73"/>
      <c r="D27" s="63"/>
      <c r="E27" s="2"/>
      <c r="F27" s="63"/>
      <c r="G27" s="2"/>
    </row>
    <row r="28" spans="1:7" hidden="1" x14ac:dyDescent="0.2">
      <c r="A28" s="73">
        <v>25</v>
      </c>
      <c r="B28" s="44"/>
      <c r="C28" s="73"/>
      <c r="D28" s="63"/>
      <c r="E28" s="2"/>
      <c r="F28" s="63"/>
      <c r="G28" s="2"/>
    </row>
    <row r="29" spans="1:7" hidden="1" x14ac:dyDescent="0.2">
      <c r="A29" s="73">
        <v>26</v>
      </c>
      <c r="B29" s="44"/>
      <c r="C29" s="73"/>
      <c r="D29" s="63"/>
      <c r="E29" s="63"/>
      <c r="F29" s="63"/>
      <c r="G29" s="2"/>
    </row>
    <row r="30" spans="1:7" hidden="1" x14ac:dyDescent="0.2">
      <c r="A30" s="73">
        <v>27</v>
      </c>
      <c r="B30" s="44"/>
      <c r="C30" s="73"/>
      <c r="D30" s="63"/>
      <c r="E30" s="2"/>
      <c r="F30" s="63"/>
      <c r="G30" s="2"/>
    </row>
    <row r="31" spans="1:7" hidden="1" x14ac:dyDescent="0.2">
      <c r="A31" s="73">
        <v>28</v>
      </c>
      <c r="B31" s="44"/>
      <c r="C31" s="73"/>
      <c r="D31" s="63"/>
      <c r="E31" s="2"/>
      <c r="F31" s="63"/>
      <c r="G31" s="2"/>
    </row>
    <row r="32" spans="1:7" hidden="1" x14ac:dyDescent="0.2">
      <c r="A32" s="73">
        <v>29</v>
      </c>
      <c r="B32" s="44"/>
      <c r="C32" s="73"/>
      <c r="D32" s="63"/>
      <c r="E32" s="2"/>
      <c r="F32" s="63"/>
      <c r="G32" s="2"/>
    </row>
    <row r="33" spans="1:7" hidden="1" x14ac:dyDescent="0.2">
      <c r="A33" s="73">
        <v>30</v>
      </c>
      <c r="B33" s="44"/>
      <c r="C33" s="73"/>
      <c r="D33" s="63"/>
      <c r="E33" s="2"/>
      <c r="F33" s="63"/>
      <c r="G33" s="2"/>
    </row>
    <row r="34" spans="1:7" hidden="1" x14ac:dyDescent="0.2">
      <c r="A34" s="73">
        <v>31</v>
      </c>
      <c r="B34" s="44"/>
      <c r="C34" s="73"/>
      <c r="D34" s="63"/>
      <c r="E34" s="63"/>
      <c r="F34" s="63"/>
      <c r="G34" s="2"/>
    </row>
    <row r="35" spans="1:7" hidden="1" x14ac:dyDescent="0.2">
      <c r="A35" s="73">
        <v>32</v>
      </c>
      <c r="B35" s="44"/>
      <c r="C35" s="73"/>
      <c r="D35" s="63"/>
      <c r="E35" s="2"/>
      <c r="F35" s="63"/>
      <c r="G35" s="2"/>
    </row>
    <row r="36" spans="1:7" hidden="1" x14ac:dyDescent="0.2">
      <c r="A36" s="73">
        <v>33</v>
      </c>
      <c r="B36" s="44"/>
      <c r="C36" s="73"/>
      <c r="D36" s="63"/>
      <c r="E36" s="2"/>
      <c r="F36" s="63"/>
      <c r="G36" s="2"/>
    </row>
    <row r="37" spans="1:7" x14ac:dyDescent="0.2">
      <c r="A37" s="2"/>
      <c r="B37" s="72"/>
      <c r="C37" s="2"/>
      <c r="D37" s="63"/>
      <c r="E37" s="2"/>
      <c r="F37" s="63"/>
      <c r="G37" s="2"/>
    </row>
    <row r="38" spans="1:7" hidden="1" x14ac:dyDescent="0.2">
      <c r="A38" s="2"/>
      <c r="B38" s="2"/>
      <c r="C38" s="2"/>
      <c r="D38" s="2"/>
      <c r="E38" s="2"/>
      <c r="F38" s="2"/>
      <c r="G38" s="2"/>
    </row>
    <row r="39" spans="1:7" ht="13.5" thickBot="1" x14ac:dyDescent="0.25">
      <c r="A39" s="101" t="s">
        <v>24</v>
      </c>
      <c r="B39" s="102"/>
      <c r="C39" s="102"/>
      <c r="D39" s="102"/>
      <c r="E39" s="102"/>
      <c r="F39" s="103"/>
      <c r="G39" s="24">
        <f>'[1]апрель 2016'!$AN$50+'[1]апрель 2016'!$AP$50-[1]декабрь!$AJ$50-[1]декабрь!$AL$50</f>
        <v>6851.0238000000036</v>
      </c>
    </row>
    <row r="40" spans="1:7" ht="15.75" thickBot="1" x14ac:dyDescent="0.3">
      <c r="A40" s="104" t="s">
        <v>25</v>
      </c>
      <c r="B40" s="105"/>
      <c r="C40" s="105"/>
      <c r="D40" s="105"/>
      <c r="E40" s="105"/>
      <c r="F40" s="106"/>
      <c r="G40" s="25">
        <f>SUM(G4:G39)</f>
        <v>75613.683799999999</v>
      </c>
    </row>
    <row r="43" spans="1:7" x14ac:dyDescent="0.2">
      <c r="A43" s="75" t="s">
        <v>92</v>
      </c>
      <c r="B43" s="75"/>
      <c r="C43" s="75"/>
      <c r="D43" s="75"/>
      <c r="E43" s="75"/>
    </row>
  </sheetData>
  <mergeCells count="14">
    <mergeCell ref="A39:F39"/>
    <mergeCell ref="A40:F40"/>
    <mergeCell ref="A1:G1"/>
    <mergeCell ref="A2:A3"/>
    <mergeCell ref="B2:B3"/>
    <mergeCell ref="C2:C3"/>
    <mergeCell ref="D2:D3"/>
    <mergeCell ref="E2:E3"/>
    <mergeCell ref="F2:F3"/>
    <mergeCell ref="G2:G3"/>
    <mergeCell ref="C4:E4"/>
    <mergeCell ref="C5:E5"/>
    <mergeCell ref="C6:E6"/>
    <mergeCell ref="C7:E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2"/>
  <sheetViews>
    <sheetView workbookViewId="0">
      <selection activeCell="D21" sqref="D21"/>
    </sheetView>
  </sheetViews>
  <sheetFormatPr defaultRowHeight="12.75" x14ac:dyDescent="0.2"/>
  <cols>
    <col min="1" max="1" width="30.7109375" customWidth="1"/>
    <col min="2" max="2" width="26.28515625" customWidth="1"/>
    <col min="3" max="3" width="22.85546875" customWidth="1"/>
    <col min="4" max="4" width="17.5703125" customWidth="1"/>
  </cols>
  <sheetData>
    <row r="2" spans="1:4" ht="101.25" customHeight="1" x14ac:dyDescent="0.35">
      <c r="A2" s="98" t="s">
        <v>156</v>
      </c>
      <c r="B2" s="98"/>
      <c r="C2" s="98"/>
      <c r="D2" s="98"/>
    </row>
    <row r="3" spans="1:4" ht="23.25" x14ac:dyDescent="0.35">
      <c r="A3" s="93"/>
      <c r="B3" s="93"/>
      <c r="C3" s="93"/>
      <c r="D3" s="93"/>
    </row>
    <row r="5" spans="1:4" ht="60" customHeight="1" x14ac:dyDescent="0.25">
      <c r="A5" s="63"/>
      <c r="B5" s="82" t="s">
        <v>58</v>
      </c>
      <c r="C5" s="82" t="s">
        <v>59</v>
      </c>
      <c r="D5" s="88" t="s">
        <v>60</v>
      </c>
    </row>
    <row r="6" spans="1:4" ht="15" customHeight="1" x14ac:dyDescent="0.25">
      <c r="A6" s="83" t="s">
        <v>155</v>
      </c>
      <c r="B6" s="82"/>
      <c r="C6" s="82">
        <v>205387.07</v>
      </c>
      <c r="D6" s="88"/>
    </row>
    <row r="7" spans="1:4" x14ac:dyDescent="0.2">
      <c r="A7" s="89" t="s">
        <v>112</v>
      </c>
      <c r="B7" s="2">
        <f>'[1]апрель 2016'!$AJ$50-[1]декабрь!$AF$50</f>
        <v>357737.2300000001</v>
      </c>
      <c r="C7" s="2">
        <f>'[1]апрель 2016'!$AL$50-[1]декабрь!$AH$50+2975.2</f>
        <v>313304.15999999997</v>
      </c>
      <c r="D7" s="94">
        <f>'расход по дому ТР 15'!G40</f>
        <v>75613.683799999999</v>
      </c>
    </row>
    <row r="8" spans="1:4" ht="25.5" x14ac:dyDescent="0.2">
      <c r="A8" s="3" t="s">
        <v>66</v>
      </c>
      <c r="B8" s="2">
        <v>0</v>
      </c>
      <c r="C8" s="2">
        <v>0</v>
      </c>
      <c r="D8" s="94">
        <f>'[1]апрель 2016'!$BF$50-[1]декабрь!$BB$50</f>
        <v>66321.839999999967</v>
      </c>
    </row>
    <row r="9" spans="1:4" ht="38.25" x14ac:dyDescent="0.2">
      <c r="A9" s="3" t="s">
        <v>67</v>
      </c>
      <c r="B9" s="2">
        <v>0</v>
      </c>
      <c r="C9" s="2">
        <v>0</v>
      </c>
      <c r="D9" s="94">
        <f>'[1]апрель 2016'!$BH$50-[1]декабрь!$BD$50</f>
        <v>5717.4000000000015</v>
      </c>
    </row>
    <row r="10" spans="1:4" ht="15" x14ac:dyDescent="0.25">
      <c r="A10" s="90" t="s">
        <v>64</v>
      </c>
      <c r="B10" s="90">
        <f>SUM(B7:B9)</f>
        <v>357737.2300000001</v>
      </c>
      <c r="C10" s="90">
        <f>SUM(C6:C9)</f>
        <v>518691.23</v>
      </c>
      <c r="D10" s="91">
        <f>SUM(D7:D9)</f>
        <v>147652.92379999996</v>
      </c>
    </row>
    <row r="12" spans="1:4" ht="15.75" customHeight="1" x14ac:dyDescent="0.25">
      <c r="A12" s="100" t="s">
        <v>157</v>
      </c>
      <c r="B12" s="100"/>
      <c r="C12" s="100"/>
      <c r="D12" s="92">
        <f>C10-D10</f>
        <v>371038.30619999999</v>
      </c>
    </row>
    <row r="14" spans="1:4" ht="15.75" customHeight="1" x14ac:dyDescent="0.25">
      <c r="A14" s="100" t="s">
        <v>158</v>
      </c>
      <c r="B14" s="100"/>
      <c r="C14" s="100"/>
      <c r="D14" s="97">
        <v>35397.300000000003</v>
      </c>
    </row>
    <row r="15" spans="1:4" ht="15.75" thickBot="1" x14ac:dyDescent="0.3">
      <c r="A15" s="64"/>
      <c r="B15" s="64"/>
      <c r="C15" s="64"/>
      <c r="D15" s="65"/>
    </row>
    <row r="16" spans="1:4" ht="13.5" thickBot="1" x14ac:dyDescent="0.25">
      <c r="A16" s="67" t="s">
        <v>79</v>
      </c>
      <c r="B16" s="19">
        <f>5717.4*4</f>
        <v>22869.599999999999</v>
      </c>
      <c r="C16" s="19">
        <f>15325.83+4931.69</f>
        <v>20257.52</v>
      </c>
      <c r="D16" s="68">
        <v>0</v>
      </c>
    </row>
    <row r="18" spans="1:4" ht="15.75" customHeight="1" x14ac:dyDescent="0.25">
      <c r="A18" s="100" t="s">
        <v>157</v>
      </c>
      <c r="B18" s="100"/>
      <c r="C18" s="100"/>
      <c r="D18" s="92">
        <f>C16+D14</f>
        <v>55654.820000000007</v>
      </c>
    </row>
    <row r="20" spans="1:4" x14ac:dyDescent="0.2">
      <c r="A20" s="76" t="s">
        <v>159</v>
      </c>
      <c r="B20" s="76"/>
      <c r="C20" s="76"/>
      <c r="D20" s="77">
        <v>532418.63</v>
      </c>
    </row>
    <row r="22" spans="1:4" x14ac:dyDescent="0.2">
      <c r="A22" s="75" t="s">
        <v>91</v>
      </c>
      <c r="B22" s="75"/>
      <c r="C22" s="75"/>
      <c r="D22" s="75"/>
    </row>
  </sheetData>
  <mergeCells count="4">
    <mergeCell ref="A2:D2"/>
    <mergeCell ref="A12:C12"/>
    <mergeCell ref="A18:C18"/>
    <mergeCell ref="A14:C14"/>
  </mergeCells>
  <pageMargins left="0.7" right="0.7" top="0.75" bottom="0.75" header="0.3" footer="0.3"/>
  <pageSetup paperSize="9" scale="98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2"/>
  <sheetViews>
    <sheetView workbookViewId="0">
      <selection activeCell="C7" sqref="C7"/>
    </sheetView>
  </sheetViews>
  <sheetFormatPr defaultRowHeight="12.75" x14ac:dyDescent="0.2"/>
  <cols>
    <col min="1" max="1" width="30.7109375" customWidth="1"/>
    <col min="2" max="2" width="26.28515625" customWidth="1"/>
    <col min="3" max="3" width="22.85546875" customWidth="1"/>
    <col min="4" max="4" width="17.5703125" customWidth="1"/>
  </cols>
  <sheetData>
    <row r="2" spans="1:4" ht="101.25" customHeight="1" x14ac:dyDescent="0.35">
      <c r="A2" s="98" t="s">
        <v>156</v>
      </c>
      <c r="B2" s="98"/>
      <c r="C2" s="98"/>
      <c r="D2" s="98"/>
    </row>
    <row r="3" spans="1:4" ht="23.25" x14ac:dyDescent="0.35">
      <c r="A3" s="95"/>
      <c r="B3" s="95"/>
      <c r="C3" s="95"/>
      <c r="D3" s="95"/>
    </row>
    <row r="5" spans="1:4" ht="60" customHeight="1" x14ac:dyDescent="0.25">
      <c r="A5" s="63"/>
      <c r="B5" s="82" t="s">
        <v>58</v>
      </c>
      <c r="C5" s="82" t="s">
        <v>59</v>
      </c>
      <c r="D5" s="88" t="s">
        <v>60</v>
      </c>
    </row>
    <row r="6" spans="1:4" ht="15" customHeight="1" x14ac:dyDescent="0.25">
      <c r="A6" s="83" t="s">
        <v>155</v>
      </c>
      <c r="B6" s="82"/>
      <c r="C6" s="82">
        <v>-49982.65</v>
      </c>
      <c r="D6" s="88"/>
    </row>
    <row r="7" spans="1:4" x14ac:dyDescent="0.2">
      <c r="A7" s="89" t="s">
        <v>112</v>
      </c>
      <c r="B7" s="2">
        <f>'[1]апрель 2016'!$AJ$50-[1]декабрь!$AF$50</f>
        <v>357737.2300000001</v>
      </c>
      <c r="C7" s="2">
        <f>'[1]апрель 2016'!$AL$50-[1]декабрь!$AH$50+2975.2</f>
        <v>313304.15999999997</v>
      </c>
      <c r="D7" s="96">
        <f>'расход по дому ТР 15'!G40</f>
        <v>75613.683799999999</v>
      </c>
    </row>
    <row r="8" spans="1:4" ht="25.5" x14ac:dyDescent="0.2">
      <c r="A8" s="3" t="s">
        <v>66</v>
      </c>
      <c r="B8" s="2">
        <v>0</v>
      </c>
      <c r="C8" s="2">
        <v>0</v>
      </c>
      <c r="D8" s="96">
        <f>'[1]апрель 2016'!$BF$50-[1]декабрь!$BB$50</f>
        <v>66321.839999999967</v>
      </c>
    </row>
    <row r="9" spans="1:4" ht="38.25" x14ac:dyDescent="0.2">
      <c r="A9" s="3" t="s">
        <v>67</v>
      </c>
      <c r="B9" s="2">
        <v>0</v>
      </c>
      <c r="C9" s="2">
        <v>0</v>
      </c>
      <c r="D9" s="96">
        <f>'[1]апрель 2016'!$BH$50-[1]декабрь!$BD$50</f>
        <v>5717.4000000000015</v>
      </c>
    </row>
    <row r="10" spans="1:4" ht="15" x14ac:dyDescent="0.25">
      <c r="A10" s="90" t="s">
        <v>64</v>
      </c>
      <c r="B10" s="90">
        <f>SUM(B7:B9)</f>
        <v>357737.2300000001</v>
      </c>
      <c r="C10" s="90">
        <f>SUM(C6:C9)</f>
        <v>263321.50999999995</v>
      </c>
      <c r="D10" s="91">
        <f>SUM(D7:D9)</f>
        <v>147652.92379999996</v>
      </c>
    </row>
    <row r="12" spans="1:4" ht="15.75" customHeight="1" x14ac:dyDescent="0.25">
      <c r="A12" s="100" t="s">
        <v>157</v>
      </c>
      <c r="B12" s="100"/>
      <c r="C12" s="100"/>
      <c r="D12" s="92">
        <f>C10-D10</f>
        <v>115668.58619999999</v>
      </c>
    </row>
    <row r="14" spans="1:4" ht="15.75" customHeight="1" x14ac:dyDescent="0.25">
      <c r="A14" s="100" t="s">
        <v>158</v>
      </c>
      <c r="B14" s="100"/>
      <c r="C14" s="100"/>
      <c r="D14" s="97">
        <v>35397.300000000003</v>
      </c>
    </row>
    <row r="15" spans="1:4" ht="15.75" thickBot="1" x14ac:dyDescent="0.3">
      <c r="A15" s="64"/>
      <c r="B15" s="64"/>
      <c r="C15" s="64"/>
      <c r="D15" s="65"/>
    </row>
    <row r="16" spans="1:4" ht="13.5" thickBot="1" x14ac:dyDescent="0.25">
      <c r="A16" s="67" t="s">
        <v>79</v>
      </c>
      <c r="B16" s="19">
        <f>5717.4*4</f>
        <v>22869.599999999999</v>
      </c>
      <c r="C16" s="19">
        <f>15325.83+4931.69</f>
        <v>20257.52</v>
      </c>
      <c r="D16" s="68">
        <v>0</v>
      </c>
    </row>
    <row r="18" spans="1:4" ht="15.75" customHeight="1" x14ac:dyDescent="0.25">
      <c r="A18" s="100" t="s">
        <v>157</v>
      </c>
      <c r="B18" s="100"/>
      <c r="C18" s="100"/>
      <c r="D18" s="92">
        <f>C16+D14</f>
        <v>55654.820000000007</v>
      </c>
    </row>
    <row r="20" spans="1:4" x14ac:dyDescent="0.2">
      <c r="A20" s="76" t="s">
        <v>159</v>
      </c>
      <c r="B20" s="76"/>
      <c r="C20" s="76"/>
      <c r="D20" s="77">
        <v>532418.63</v>
      </c>
    </row>
    <row r="22" spans="1:4" x14ac:dyDescent="0.2">
      <c r="A22" s="75" t="s">
        <v>91</v>
      </c>
      <c r="B22" s="75"/>
      <c r="C22" s="75"/>
      <c r="D22" s="75"/>
    </row>
  </sheetData>
  <mergeCells count="4">
    <mergeCell ref="A2:D2"/>
    <mergeCell ref="A12:C12"/>
    <mergeCell ref="A14:C14"/>
    <mergeCell ref="A18:C18"/>
  </mergeCells>
  <pageMargins left="0.7" right="0.7" top="0.75" bottom="0.75" header="0.3" footer="0.3"/>
  <pageSetup paperSize="9" scale="98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A2" sqref="A2:E2"/>
    </sheetView>
  </sheetViews>
  <sheetFormatPr defaultRowHeight="12.75" x14ac:dyDescent="0.2"/>
  <cols>
    <col min="1" max="1" width="30.7109375" customWidth="1"/>
    <col min="2" max="2" width="26.28515625" customWidth="1"/>
    <col min="3" max="3" width="22.85546875" customWidth="1"/>
    <col min="4" max="4" width="17.5703125" customWidth="1"/>
    <col min="5" max="5" width="14" customWidth="1"/>
  </cols>
  <sheetData>
    <row r="2" spans="1:5" ht="78" customHeight="1" x14ac:dyDescent="0.35">
      <c r="A2" s="116" t="s">
        <v>149</v>
      </c>
      <c r="B2" s="116"/>
      <c r="C2" s="116"/>
      <c r="D2" s="116"/>
      <c r="E2" s="116"/>
    </row>
    <row r="3" spans="1:5" ht="23.25" x14ac:dyDescent="0.35">
      <c r="A3" s="84"/>
      <c r="B3" s="84"/>
      <c r="C3" s="84"/>
      <c r="D3" s="84"/>
      <c r="E3" s="84"/>
    </row>
    <row r="4" spans="1:5" ht="13.5" thickBot="1" x14ac:dyDescent="0.25"/>
    <row r="5" spans="1:5" ht="60" customHeight="1" x14ac:dyDescent="0.25">
      <c r="A5" s="81"/>
      <c r="B5" s="34" t="s">
        <v>58</v>
      </c>
      <c r="C5" s="34" t="s">
        <v>59</v>
      </c>
      <c r="D5" s="117" t="s">
        <v>60</v>
      </c>
      <c r="E5" s="118"/>
    </row>
    <row r="6" spans="1:5" ht="15" customHeight="1" x14ac:dyDescent="0.25">
      <c r="A6" s="83" t="s">
        <v>119</v>
      </c>
      <c r="B6" s="82"/>
      <c r="C6" s="82">
        <v>255369.72</v>
      </c>
      <c r="D6" s="119"/>
      <c r="E6" s="120"/>
    </row>
    <row r="7" spans="1:5" x14ac:dyDescent="0.2">
      <c r="A7" s="12" t="s">
        <v>112</v>
      </c>
      <c r="B7" s="5">
        <f>'выборка 15 (2)'!E15+'выборка 15 (2)'!AI15</f>
        <v>86237.489999999991</v>
      </c>
      <c r="C7" s="5">
        <f>'выборка 15 (2)'!H15+'выборка 15 (2)'!AL15</f>
        <v>3187.11</v>
      </c>
      <c r="D7" s="121">
        <f>'расход по дому ТР 2 кв'!I10</f>
        <v>12188.003849999999</v>
      </c>
      <c r="E7" s="121"/>
    </row>
    <row r="8" spans="1:5" ht="25.5" x14ac:dyDescent="0.2">
      <c r="A8" s="3" t="s">
        <v>66</v>
      </c>
      <c r="B8" s="2">
        <v>0</v>
      </c>
      <c r="C8" s="2">
        <v>0</v>
      </c>
      <c r="D8" s="121">
        <f>('выборка 15'!B3*1.74)*1</f>
        <v>16569.498</v>
      </c>
      <c r="E8" s="121"/>
    </row>
    <row r="9" spans="1:5" ht="39" thickBot="1" x14ac:dyDescent="0.25">
      <c r="A9" s="3" t="s">
        <v>67</v>
      </c>
      <c r="B9" s="2">
        <v>0</v>
      </c>
      <c r="C9" s="2">
        <v>0</v>
      </c>
      <c r="D9" s="121">
        <f>('выборка 15'!B3*0.15)*1</f>
        <v>1428.405</v>
      </c>
      <c r="E9" s="121"/>
    </row>
    <row r="10" spans="1:5" ht="15.75" thickBot="1" x14ac:dyDescent="0.3">
      <c r="A10" s="30" t="s">
        <v>64</v>
      </c>
      <c r="B10" s="31">
        <f>SUM(B7:B9)</f>
        <v>86237.489999999991</v>
      </c>
      <c r="C10" s="31">
        <f>SUM(C6:C9)</f>
        <v>258556.83</v>
      </c>
      <c r="D10" s="114">
        <f>SUM(D7:D9)</f>
        <v>30185.906849999999</v>
      </c>
      <c r="E10" s="115"/>
    </row>
    <row r="12" spans="1:5" ht="15.75" x14ac:dyDescent="0.25">
      <c r="A12" s="100" t="s">
        <v>147</v>
      </c>
      <c r="B12" s="100"/>
      <c r="C12" s="100"/>
      <c r="D12" s="100"/>
      <c r="E12" s="33">
        <f>C10-D10</f>
        <v>228370.92314999999</v>
      </c>
    </row>
    <row r="14" spans="1:5" ht="15.75" x14ac:dyDescent="0.25">
      <c r="A14" s="100" t="s">
        <v>82</v>
      </c>
      <c r="B14" s="100"/>
      <c r="C14" s="100"/>
      <c r="D14" s="100"/>
      <c r="E14" s="33">
        <v>0</v>
      </c>
    </row>
    <row r="15" spans="1:5" ht="15.75" thickBot="1" x14ac:dyDescent="0.3">
      <c r="A15" s="64"/>
      <c r="B15" s="64"/>
      <c r="C15" s="64"/>
      <c r="D15" s="65"/>
      <c r="E15" s="65"/>
    </row>
    <row r="16" spans="1:5" ht="13.5" thickBot="1" x14ac:dyDescent="0.25">
      <c r="A16" s="67" t="s">
        <v>79</v>
      </c>
      <c r="B16" s="19">
        <f>'выборка 15 (2)'!Q15</f>
        <v>5336.23</v>
      </c>
      <c r="C16" s="19">
        <f>'выборка 15 (2)'!R15</f>
        <v>326.16000000000003</v>
      </c>
      <c r="D16" s="68">
        <v>0</v>
      </c>
      <c r="E16" s="69">
        <f>C16-D16</f>
        <v>326.16000000000003</v>
      </c>
    </row>
    <row r="17" spans="1:5" x14ac:dyDescent="0.2">
      <c r="E17" s="38"/>
    </row>
    <row r="18" spans="1:5" ht="15.75" x14ac:dyDescent="0.25">
      <c r="A18" s="100" t="s">
        <v>147</v>
      </c>
      <c r="B18" s="100"/>
      <c r="C18" s="100"/>
      <c r="D18" s="100"/>
      <c r="E18" s="33">
        <f>E14+C16-D16</f>
        <v>326.16000000000003</v>
      </c>
    </row>
    <row r="20" spans="1:5" hidden="1" x14ac:dyDescent="0.2">
      <c r="A20" s="76" t="s">
        <v>148</v>
      </c>
      <c r="B20" s="76"/>
      <c r="C20" s="76"/>
      <c r="D20" s="77">
        <v>528187.81999999995</v>
      </c>
    </row>
    <row r="22" spans="1:5" x14ac:dyDescent="0.2">
      <c r="A22" s="75" t="s">
        <v>91</v>
      </c>
      <c r="B22" s="75"/>
      <c r="C22" s="75"/>
      <c r="D22" s="75"/>
    </row>
  </sheetData>
  <mergeCells count="10">
    <mergeCell ref="D10:E10"/>
    <mergeCell ref="A12:D12"/>
    <mergeCell ref="A14:D14"/>
    <mergeCell ref="A18:D18"/>
    <mergeCell ref="A2:E2"/>
    <mergeCell ref="D5:E5"/>
    <mergeCell ref="D6:E6"/>
    <mergeCell ref="D7:E7"/>
    <mergeCell ref="D8:E8"/>
    <mergeCell ref="D9:E9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38.42578125" customWidth="1"/>
    <col min="8" max="8" width="31.28515625" customWidth="1"/>
    <col min="9" max="9" width="11.28515625" customWidth="1"/>
  </cols>
  <sheetData>
    <row r="1" spans="1:9" ht="93.75" customHeight="1" thickBot="1" x14ac:dyDescent="0.4">
      <c r="A1" s="107" t="s">
        <v>146</v>
      </c>
      <c r="B1" s="107"/>
      <c r="C1" s="107"/>
      <c r="D1" s="107"/>
      <c r="E1" s="107"/>
      <c r="F1" s="107"/>
      <c r="G1" s="107"/>
      <c r="H1" s="107"/>
      <c r="I1" s="107"/>
    </row>
    <row r="2" spans="1:9" ht="16.5" customHeight="1" x14ac:dyDescent="0.2">
      <c r="A2" s="108" t="s">
        <v>14</v>
      </c>
      <c r="B2" s="110" t="s">
        <v>15</v>
      </c>
      <c r="C2" s="110" t="s">
        <v>16</v>
      </c>
      <c r="D2" s="110" t="s">
        <v>17</v>
      </c>
      <c r="E2" s="110" t="s">
        <v>18</v>
      </c>
      <c r="F2" s="110" t="s">
        <v>19</v>
      </c>
      <c r="G2" s="110" t="s">
        <v>20</v>
      </c>
      <c r="H2" s="110" t="s">
        <v>21</v>
      </c>
      <c r="I2" s="110" t="s">
        <v>22</v>
      </c>
    </row>
    <row r="3" spans="1:9" ht="29.25" customHeight="1" thickBot="1" x14ac:dyDescent="0.25">
      <c r="A3" s="109"/>
      <c r="B3" s="111"/>
      <c r="C3" s="111"/>
      <c r="D3" s="111"/>
      <c r="E3" s="111"/>
      <c r="F3" s="111"/>
      <c r="G3" s="111"/>
      <c r="H3" s="111"/>
      <c r="I3" s="111"/>
    </row>
    <row r="4" spans="1:9" x14ac:dyDescent="0.2">
      <c r="A4" s="72">
        <v>1</v>
      </c>
      <c r="B4" s="72">
        <v>2015</v>
      </c>
      <c r="C4" s="72" t="s">
        <v>83</v>
      </c>
      <c r="D4" s="5" t="s">
        <v>85</v>
      </c>
      <c r="E4" s="5" t="s">
        <v>84</v>
      </c>
      <c r="F4" s="5"/>
      <c r="G4" s="5"/>
      <c r="H4" s="23" t="s">
        <v>86</v>
      </c>
      <c r="I4" s="5">
        <v>2631.03</v>
      </c>
    </row>
    <row r="5" spans="1:9" x14ac:dyDescent="0.2">
      <c r="A5" s="43">
        <v>2</v>
      </c>
      <c r="B5" s="44">
        <v>2015</v>
      </c>
      <c r="C5" s="45" t="s">
        <v>83</v>
      </c>
      <c r="D5" s="46" t="s">
        <v>88</v>
      </c>
      <c r="E5" s="47" t="s">
        <v>89</v>
      </c>
      <c r="F5" s="2"/>
      <c r="G5" s="2"/>
      <c r="H5" s="48" t="s">
        <v>90</v>
      </c>
      <c r="I5" s="49">
        <v>3073.69</v>
      </c>
    </row>
    <row r="6" spans="1:9" x14ac:dyDescent="0.2">
      <c r="A6" s="44">
        <v>3</v>
      </c>
      <c r="B6" s="44">
        <v>2015</v>
      </c>
      <c r="C6" s="45" t="s">
        <v>83</v>
      </c>
      <c r="D6" s="46"/>
      <c r="E6" s="47" t="s">
        <v>113</v>
      </c>
      <c r="F6" s="2"/>
      <c r="G6" s="2"/>
      <c r="H6" s="48" t="s">
        <v>114</v>
      </c>
      <c r="I6" s="74">
        <v>6401.36</v>
      </c>
    </row>
    <row r="7" spans="1:9" x14ac:dyDescent="0.2">
      <c r="A7" s="2"/>
      <c r="B7" s="72"/>
      <c r="C7" s="2"/>
      <c r="D7" s="63"/>
      <c r="E7" s="2"/>
      <c r="F7" s="2"/>
      <c r="G7" s="2"/>
      <c r="H7" s="63"/>
      <c r="I7" s="2"/>
    </row>
    <row r="8" spans="1:9" hidden="1" x14ac:dyDescent="0.2">
      <c r="A8" s="2"/>
      <c r="B8" s="2"/>
      <c r="C8" s="2"/>
      <c r="D8" s="2"/>
      <c r="E8" s="2"/>
      <c r="F8" s="2"/>
      <c r="G8" s="2"/>
      <c r="H8" s="2"/>
      <c r="I8" s="2"/>
    </row>
    <row r="9" spans="1:9" ht="13.5" thickBot="1" x14ac:dyDescent="0.25">
      <c r="A9" s="101" t="s">
        <v>24</v>
      </c>
      <c r="B9" s="102"/>
      <c r="C9" s="102"/>
      <c r="D9" s="102"/>
      <c r="E9" s="102"/>
      <c r="F9" s="102"/>
      <c r="G9" s="102"/>
      <c r="H9" s="103"/>
      <c r="I9" s="24">
        <f>'выборка 15 (2)'!O15+'выборка 15 (2)'!P15+'выборка 15 (2)'!AM15+'выборка 15 (2)'!AN15</f>
        <v>81.923849999999987</v>
      </c>
    </row>
    <row r="10" spans="1:9" ht="15.75" thickBot="1" x14ac:dyDescent="0.3">
      <c r="A10" s="104" t="s">
        <v>25</v>
      </c>
      <c r="B10" s="105"/>
      <c r="C10" s="105"/>
      <c r="D10" s="105"/>
      <c r="E10" s="105"/>
      <c r="F10" s="105"/>
      <c r="G10" s="105"/>
      <c r="H10" s="106"/>
      <c r="I10" s="25">
        <f>SUM(I4:I9)</f>
        <v>12188.003849999999</v>
      </c>
    </row>
    <row r="13" spans="1:9" x14ac:dyDescent="0.2">
      <c r="A13" s="75" t="s">
        <v>92</v>
      </c>
      <c r="B13" s="75"/>
      <c r="C13" s="75"/>
      <c r="D13" s="75"/>
      <c r="E13" s="75"/>
    </row>
  </sheetData>
  <mergeCells count="12">
    <mergeCell ref="A9:H9"/>
    <mergeCell ref="A10:H10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A2" sqref="A2:E23"/>
    </sheetView>
  </sheetViews>
  <sheetFormatPr defaultRowHeight="12.75" x14ac:dyDescent="0.2"/>
  <cols>
    <col min="1" max="1" width="30.7109375" customWidth="1"/>
    <col min="2" max="2" width="26.28515625" customWidth="1"/>
    <col min="3" max="3" width="22.85546875" customWidth="1"/>
    <col min="4" max="4" width="17.5703125" customWidth="1"/>
    <col min="5" max="5" width="14" customWidth="1"/>
  </cols>
  <sheetData>
    <row r="2" spans="1:5" ht="78" customHeight="1" x14ac:dyDescent="0.35">
      <c r="A2" s="116" t="s">
        <v>132</v>
      </c>
      <c r="B2" s="116"/>
      <c r="C2" s="116"/>
      <c r="D2" s="116"/>
      <c r="E2" s="116"/>
    </row>
    <row r="3" spans="1:5" ht="23.25" x14ac:dyDescent="0.35">
      <c r="A3" s="84"/>
      <c r="B3" s="84"/>
      <c r="C3" s="84"/>
      <c r="D3" s="84"/>
      <c r="E3" s="84"/>
    </row>
    <row r="4" spans="1:5" ht="13.5" thickBot="1" x14ac:dyDescent="0.25"/>
    <row r="5" spans="1:5" ht="60" customHeight="1" x14ac:dyDescent="0.25">
      <c r="A5" s="81"/>
      <c r="B5" s="34" t="s">
        <v>58</v>
      </c>
      <c r="C5" s="34" t="s">
        <v>59</v>
      </c>
      <c r="D5" s="117" t="s">
        <v>60</v>
      </c>
      <c r="E5" s="118"/>
    </row>
    <row r="6" spans="1:5" ht="15" customHeight="1" x14ac:dyDescent="0.25">
      <c r="A6" s="86" t="s">
        <v>133</v>
      </c>
      <c r="B6" s="82"/>
      <c r="C6" s="82">
        <v>228370.92</v>
      </c>
      <c r="D6" s="119"/>
      <c r="E6" s="120"/>
    </row>
    <row r="7" spans="1:5" x14ac:dyDescent="0.2">
      <c r="A7" s="12" t="s">
        <v>112</v>
      </c>
      <c r="B7" s="5">
        <f>'выборка 15 (3)'!E15+'выборка 15 (3)'!AI15</f>
        <v>263977.59000000003</v>
      </c>
      <c r="C7" s="5">
        <f>'выборка 15 (3)'!AL15+'выборка 15 (3)'!H15+5954.44</f>
        <v>256129.03</v>
      </c>
      <c r="D7" s="121">
        <f>'расход по дому ТР 3 кв'!I26</f>
        <v>314331.48314999993</v>
      </c>
      <c r="E7" s="121"/>
    </row>
    <row r="8" spans="1:5" ht="25.5" x14ac:dyDescent="0.2">
      <c r="A8" s="3" t="s">
        <v>66</v>
      </c>
      <c r="B8" s="2">
        <v>0</v>
      </c>
      <c r="C8" s="2">
        <v>0</v>
      </c>
      <c r="D8" s="121">
        <f>('выборка 15'!B3*1.74)*3</f>
        <v>49708.493999999999</v>
      </c>
      <c r="E8" s="121"/>
    </row>
    <row r="9" spans="1:5" ht="39" thickBot="1" x14ac:dyDescent="0.25">
      <c r="A9" s="3" t="s">
        <v>67</v>
      </c>
      <c r="B9" s="2">
        <v>0</v>
      </c>
      <c r="C9" s="2">
        <v>0</v>
      </c>
      <c r="D9" s="121">
        <f>('выборка 15'!B3*0.15)*3</f>
        <v>4285.2150000000001</v>
      </c>
      <c r="E9" s="121"/>
    </row>
    <row r="10" spans="1:5" ht="15.75" thickBot="1" x14ac:dyDescent="0.3">
      <c r="A10" s="30" t="s">
        <v>64</v>
      </c>
      <c r="B10" s="31">
        <f>SUM(B7:B9)</f>
        <v>263977.59000000003</v>
      </c>
      <c r="C10" s="31">
        <f>SUM(C6:C9)</f>
        <v>484499.95</v>
      </c>
      <c r="D10" s="114">
        <f>SUM(D7:D9)</f>
        <v>368325.19214999996</v>
      </c>
      <c r="E10" s="115"/>
    </row>
    <row r="12" spans="1:5" ht="15.75" x14ac:dyDescent="0.25">
      <c r="A12" s="100" t="s">
        <v>143</v>
      </c>
      <c r="B12" s="100"/>
      <c r="C12" s="100"/>
      <c r="D12" s="100"/>
      <c r="E12" s="33">
        <f>C10-D10</f>
        <v>116174.75785000005</v>
      </c>
    </row>
    <row r="14" spans="1:5" ht="15.75" x14ac:dyDescent="0.25">
      <c r="A14" s="100" t="s">
        <v>144</v>
      </c>
      <c r="B14" s="100"/>
      <c r="C14" s="100"/>
      <c r="D14" s="100"/>
      <c r="E14" s="33">
        <f>'отчет тек. ремонт 2 кв'!E18</f>
        <v>326.16000000000003</v>
      </c>
    </row>
    <row r="15" spans="1:5" ht="15.75" thickBot="1" x14ac:dyDescent="0.3">
      <c r="A15" s="64"/>
      <c r="B15" s="64"/>
      <c r="C15" s="64"/>
      <c r="D15" s="65"/>
      <c r="E15" s="65"/>
    </row>
    <row r="16" spans="1:5" ht="13.5" thickBot="1" x14ac:dyDescent="0.25">
      <c r="A16" s="67" t="s">
        <v>79</v>
      </c>
      <c r="B16" s="19">
        <f>'выборка 15 (3)'!Q15</f>
        <v>17152.199999999997</v>
      </c>
      <c r="C16" s="19">
        <f>'выборка 15 (3)'!R15</f>
        <v>16118.77</v>
      </c>
      <c r="D16" s="68">
        <v>0</v>
      </c>
      <c r="E16" s="69">
        <f>C16-D16</f>
        <v>16118.77</v>
      </c>
    </row>
    <row r="17" spans="1:5" x14ac:dyDescent="0.2">
      <c r="E17" s="38"/>
    </row>
    <row r="18" spans="1:5" ht="15.75" x14ac:dyDescent="0.25">
      <c r="A18" s="100" t="s">
        <v>143</v>
      </c>
      <c r="B18" s="100"/>
      <c r="C18" s="100"/>
      <c r="D18" s="100"/>
      <c r="E18" s="33">
        <f>E14+C16-D16</f>
        <v>16444.93</v>
      </c>
    </row>
    <row r="20" spans="1:5" x14ac:dyDescent="0.2">
      <c r="A20" s="76" t="s">
        <v>145</v>
      </c>
      <c r="B20" s="76"/>
      <c r="C20" s="76"/>
      <c r="D20" s="77">
        <v>534970.57999999996</v>
      </c>
    </row>
    <row r="22" spans="1:5" x14ac:dyDescent="0.2">
      <c r="A22" s="75" t="s">
        <v>91</v>
      </c>
      <c r="B22" s="75"/>
      <c r="C22" s="75"/>
      <c r="D22" s="75"/>
    </row>
  </sheetData>
  <mergeCells count="10">
    <mergeCell ref="D10:E10"/>
    <mergeCell ref="A12:D12"/>
    <mergeCell ref="A14:D14"/>
    <mergeCell ref="A18:D18"/>
    <mergeCell ref="A2:E2"/>
    <mergeCell ref="D5:E5"/>
    <mergeCell ref="D6:E6"/>
    <mergeCell ref="D7:E7"/>
    <mergeCell ref="D8:E8"/>
    <mergeCell ref="D9:E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тек. ремонт (2)</vt:lpstr>
      <vt:lpstr>отчет тек. ремонт (3)</vt:lpstr>
      <vt:lpstr>отчет тек. ремонт 2 кв</vt:lpstr>
      <vt:lpstr>расход по дому ТР 2 кв</vt:lpstr>
      <vt:lpstr>отчет тек. ремонт 3 кв</vt:lpstr>
      <vt:lpstr>расход по дому ТР 3 кв</vt:lpstr>
      <vt:lpstr>выборка 15 (2)</vt:lpstr>
      <vt:lpstr>выборка 15 (3)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2016-05-30T11:54:16Z</cp:lastPrinted>
  <dcterms:created xsi:type="dcterms:W3CDTF">2015-02-24T21:57:31Z</dcterms:created>
  <dcterms:modified xsi:type="dcterms:W3CDTF">2017-04-15T11:56:15Z</dcterms:modified>
</cp:coreProperties>
</file>